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hris\Documents\Finances folder\Accounts xls\"/>
    </mc:Choice>
  </mc:AlternateContent>
  <xr:revisionPtr revIDLastSave="0" documentId="13_ncr:1_{5B958071-01F7-4C48-BB1E-FAF2D30730B3}" xr6:coauthVersionLast="43" xr6:coauthVersionMax="43" xr10:uidLastSave="{00000000-0000-0000-0000-000000000000}"/>
  <bookViews>
    <workbookView xWindow="-120" yWindow="-120" windowWidth="20730" windowHeight="11160" tabRatio="585" xr2:uid="{00000000-000D-0000-FFFF-FFFF00000000}"/>
  </bookViews>
  <sheets>
    <sheet name="Receipts" sheetId="1" r:id="rId1"/>
    <sheet name="Payments" sheetId="2" r:id="rId2"/>
    <sheet name="Summary" sheetId="3" r:id="rId3"/>
    <sheet name="Rec" sheetId="4" r:id="rId4"/>
  </sheets>
  <definedNames>
    <definedName name="__xlnm._FilterDatabase" localSheetId="1">Payments!$B$7:$Q$87</definedName>
    <definedName name="__xlnm._FilterDatabase_1">Payments!$B$7:$Q$87</definedName>
    <definedName name="__xlnm.Print_Area" localSheetId="1">Payments!$B$1:$V$63</definedName>
    <definedName name="__xlnm.Print_Area" localSheetId="3">Rec!$A$1:$E$36</definedName>
    <definedName name="__xlnm.Print_Area" localSheetId="0">Receipts!$B$1:$M$19</definedName>
    <definedName name="__xlnm.Print_Area" localSheetId="2">Summary!$A$1:$E$12</definedName>
    <definedName name="_xlnm._FilterDatabase" localSheetId="1" hidden="1">Payments!$B$7:$Q$87</definedName>
    <definedName name="_xlnm.Print_Area" localSheetId="1">Payments!$B$1:$V$63</definedName>
    <definedName name="_xlnm.Print_Area" localSheetId="3">Rec!$A$1:$E$36</definedName>
    <definedName name="_xlnm.Print_Area" localSheetId="0">Receipts!$B$1:$M$19</definedName>
    <definedName name="_xlnm.Print_Area" localSheetId="2">Summary!$A$1:$E$12</definedName>
  </definedNames>
  <calcPr calcId="181029"/>
</workbook>
</file>

<file path=xl/calcChain.xml><?xml version="1.0" encoding="utf-8"?>
<calcChain xmlns="http://schemas.openxmlformats.org/spreadsheetml/2006/main">
  <c r="J9" i="1" l="1"/>
  <c r="J10" i="1"/>
  <c r="J11" i="1"/>
  <c r="J12" i="1"/>
  <c r="J14" i="1"/>
  <c r="J15" i="1"/>
  <c r="J16" i="1"/>
  <c r="J17" i="1"/>
  <c r="J18" i="1"/>
  <c r="J19" i="1"/>
  <c r="J20" i="1"/>
  <c r="J21" i="1"/>
  <c r="J8" i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5" i="2"/>
  <c r="Q36" i="2"/>
  <c r="Q37" i="2"/>
  <c r="Q60" i="2"/>
  <c r="Q49" i="2"/>
  <c r="Q50" i="2"/>
  <c r="Q51" i="2"/>
  <c r="Q52" i="2"/>
  <c r="Q53" i="2"/>
  <c r="Q54" i="2"/>
  <c r="Q55" i="2"/>
  <c r="Q56" i="2"/>
  <c r="Q57" i="2"/>
  <c r="Q58" i="2"/>
  <c r="Q59" i="2"/>
  <c r="T38" i="2"/>
  <c r="D7" i="4" l="1"/>
  <c r="N63" i="2"/>
  <c r="M63" i="2"/>
  <c r="L63" i="2"/>
  <c r="H63" i="2"/>
  <c r="G63" i="2"/>
  <c r="C9" i="3" s="1"/>
  <c r="F63" i="2"/>
  <c r="B9" i="3" s="1"/>
  <c r="D5" i="4"/>
  <c r="O22" i="2" l="1"/>
  <c r="O63" i="2" s="1"/>
  <c r="A15" i="1" l="1"/>
  <c r="A16" i="1"/>
  <c r="A17" i="1"/>
  <c r="A18" i="1"/>
  <c r="A19" i="1"/>
  <c r="A20" i="1"/>
  <c r="A8" i="1"/>
  <c r="A19" i="2"/>
  <c r="A20" i="2"/>
  <c r="A21" i="2"/>
  <c r="A25" i="2"/>
  <c r="A26" i="2"/>
  <c r="A28" i="2"/>
  <c r="A29" i="2"/>
  <c r="A32" i="2"/>
  <c r="A33" i="2"/>
  <c r="A35" i="2"/>
  <c r="A37" i="2"/>
  <c r="Q61" i="2"/>
  <c r="A61" i="2" s="1"/>
  <c r="Q62" i="2"/>
  <c r="A62" i="2" s="1"/>
  <c r="A12" i="1"/>
  <c r="A14" i="1"/>
  <c r="A21" i="1"/>
  <c r="M8" i="1"/>
  <c r="E7" i="4"/>
  <c r="E6" i="4"/>
  <c r="D6" i="4"/>
  <c r="E5" i="4"/>
  <c r="E22" i="1"/>
  <c r="C8" i="3" s="1"/>
  <c r="F22" i="1"/>
  <c r="G22" i="1"/>
  <c r="H22" i="1"/>
  <c r="D22" i="1"/>
  <c r="B8" i="3" s="1"/>
  <c r="A36" i="2" l="1"/>
  <c r="E17" i="4"/>
  <c r="E10" i="4"/>
  <c r="S18" i="2"/>
  <c r="A18" i="2" s="1"/>
  <c r="S16" i="2"/>
  <c r="A16" i="2" s="1"/>
  <c r="S14" i="2"/>
  <c r="A14" i="2" s="1"/>
  <c r="S12" i="2"/>
  <c r="A12" i="2" s="1"/>
  <c r="S10" i="2"/>
  <c r="A10" i="2" s="1"/>
  <c r="S61" i="2"/>
  <c r="S59" i="2"/>
  <c r="A59" i="2" s="1"/>
  <c r="S57" i="2"/>
  <c r="A57" i="2" s="1"/>
  <c r="S55" i="2"/>
  <c r="A55" i="2" s="1"/>
  <c r="S53" i="2"/>
  <c r="A53" i="2" s="1"/>
  <c r="S51" i="2"/>
  <c r="A51" i="2" s="1"/>
  <c r="S49" i="2"/>
  <c r="A49" i="2" s="1"/>
  <c r="S47" i="2"/>
  <c r="A47" i="2" s="1"/>
  <c r="S45" i="2"/>
  <c r="A45" i="2" s="1"/>
  <c r="S43" i="2"/>
  <c r="A43" i="2" s="1"/>
  <c r="S41" i="2"/>
  <c r="A41" i="2" s="1"/>
  <c r="S39" i="2"/>
  <c r="A39" i="2" s="1"/>
  <c r="S37" i="2"/>
  <c r="S35" i="2"/>
  <c r="S33" i="2"/>
  <c r="S31" i="2"/>
  <c r="A31" i="2" s="1"/>
  <c r="S29" i="2"/>
  <c r="S27" i="2"/>
  <c r="A27" i="2" s="1"/>
  <c r="S25" i="2"/>
  <c r="S23" i="2"/>
  <c r="A23" i="2" s="1"/>
  <c r="S21" i="2"/>
  <c r="S19" i="2"/>
  <c r="A9" i="2"/>
  <c r="D17" i="4"/>
  <c r="M15" i="1"/>
  <c r="C11" i="3"/>
  <c r="S9" i="2"/>
  <c r="S17" i="2"/>
  <c r="A17" i="2" s="1"/>
  <c r="S15" i="2"/>
  <c r="A15" i="2" s="1"/>
  <c r="S13" i="2"/>
  <c r="A13" i="2" s="1"/>
  <c r="S11" i="2"/>
  <c r="A11" i="2" s="1"/>
  <c r="S62" i="2"/>
  <c r="S60" i="2"/>
  <c r="A60" i="2" s="1"/>
  <c r="S58" i="2"/>
  <c r="A58" i="2" s="1"/>
  <c r="S56" i="2"/>
  <c r="A56" i="2" s="1"/>
  <c r="S54" i="2"/>
  <c r="A54" i="2" s="1"/>
  <c r="S52" i="2"/>
  <c r="A52" i="2" s="1"/>
  <c r="S50" i="2"/>
  <c r="A50" i="2" s="1"/>
  <c r="S48" i="2"/>
  <c r="A48" i="2" s="1"/>
  <c r="S46" i="2"/>
  <c r="A46" i="2" s="1"/>
  <c r="S44" i="2"/>
  <c r="A44" i="2" s="1"/>
  <c r="S42" i="2"/>
  <c r="A42" i="2" s="1"/>
  <c r="S40" i="2"/>
  <c r="A40" i="2" s="1"/>
  <c r="S38" i="2"/>
  <c r="A38" i="2" s="1"/>
  <c r="S36" i="2"/>
  <c r="S34" i="2"/>
  <c r="A34" i="2" s="1"/>
  <c r="S32" i="2"/>
  <c r="S30" i="2"/>
  <c r="A30" i="2" s="1"/>
  <c r="S28" i="2"/>
  <c r="S26" i="2"/>
  <c r="S24" i="2"/>
  <c r="A24" i="2" s="1"/>
  <c r="S22" i="2"/>
  <c r="A22" i="2" s="1"/>
  <c r="S20" i="2"/>
  <c r="M16" i="1"/>
  <c r="D10" i="4"/>
  <c r="B11" i="3"/>
  <c r="M18" i="1"/>
  <c r="M12" i="1"/>
  <c r="M21" i="1"/>
  <c r="M17" i="1"/>
  <c r="M11" i="1"/>
  <c r="A11" i="1" s="1"/>
  <c r="M20" i="1"/>
  <c r="M14" i="1"/>
  <c r="M10" i="1"/>
  <c r="A10" i="1" s="1"/>
  <c r="M19" i="1"/>
  <c r="M13" i="1"/>
  <c r="A13" i="1" s="1"/>
  <c r="M9" i="1"/>
  <c r="A9" i="1" s="1"/>
  <c r="E8" i="4"/>
  <c r="D33" i="4" l="1"/>
  <c r="A18" i="4"/>
  <c r="D27" i="4"/>
  <c r="A27" i="4"/>
  <c r="D26" i="4"/>
  <c r="A26" i="4"/>
  <c r="D25" i="4"/>
  <c r="A25" i="4"/>
  <c r="D24" i="4"/>
  <c r="A24" i="4"/>
  <c r="D23" i="4"/>
  <c r="A23" i="4"/>
  <c r="D22" i="4"/>
  <c r="A22" i="4"/>
  <c r="D21" i="4"/>
  <c r="A21" i="4"/>
  <c r="D20" i="4"/>
  <c r="A20" i="4"/>
  <c r="D19" i="4"/>
  <c r="A19" i="4"/>
  <c r="D18" i="4"/>
  <c r="E27" i="4"/>
  <c r="B27" i="4"/>
  <c r="E26" i="4"/>
  <c r="B26" i="4"/>
  <c r="E25" i="4"/>
  <c r="B25" i="4"/>
  <c r="E24" i="4"/>
  <c r="B24" i="4"/>
  <c r="E23" i="4"/>
  <c r="B23" i="4"/>
  <c r="E22" i="4"/>
  <c r="B22" i="4"/>
  <c r="E21" i="4"/>
  <c r="B21" i="4"/>
  <c r="E20" i="4"/>
  <c r="B20" i="4"/>
  <c r="E19" i="4"/>
  <c r="B19" i="4"/>
  <c r="E18" i="4"/>
  <c r="B18" i="4"/>
  <c r="E29" i="4"/>
  <c r="E33" i="4" s="1"/>
  <c r="B13" i="4"/>
  <c r="D11" i="4"/>
  <c r="A11" i="4"/>
  <c r="B11" i="4"/>
  <c r="E11" i="4"/>
  <c r="E12" i="4"/>
  <c r="E14" i="4"/>
  <c r="D14" i="4"/>
  <c r="A14" i="4"/>
  <c r="D12" i="4"/>
  <c r="A13" i="4"/>
  <c r="E13" i="4"/>
  <c r="D13" i="4"/>
  <c r="B15" i="4"/>
  <c r="A12" i="4"/>
  <c r="B12" i="4"/>
  <c r="B14" i="4"/>
  <c r="E15" i="4"/>
  <c r="D15" i="4"/>
  <c r="A1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MartinHolland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MartinHolland:</t>
        </r>
        <r>
          <rPr>
            <sz val="9"/>
            <color indexed="81"/>
            <rFont val="Tahoma"/>
            <family val="2"/>
          </rPr>
          <t xml:space="preserve">
this code is used to identify the individual lines which are outstanding at the reconciliation date, using the outstanding marker in column J and the count number in column M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MartinHolland</author>
  </authors>
  <commentList>
    <comment ref="A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MartinHolland:</t>
        </r>
        <r>
          <rPr>
            <sz val="9"/>
            <color indexed="81"/>
            <rFont val="Tahoma"/>
            <family val="2"/>
          </rPr>
          <t xml:space="preserve">
this code is used to identify the individual lines which are outstanding at the reconciliation date, using the outstanding marker in column Q and the count number in column S</t>
        </r>
      </text>
    </comment>
    <comment ref="Q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MartinHolland:</t>
        </r>
        <r>
          <rPr>
            <sz val="9"/>
            <color indexed="81"/>
            <rFont val="Tahoma"/>
            <family val="2"/>
          </rPr>
          <t xml:space="preserve">
this marker used the transaction (cheque) date and the cleared date to assess whether the cheque wass outstanding at the date the reconciliation is done</t>
        </r>
      </text>
    </comment>
  </commentList>
</comments>
</file>

<file path=xl/sharedStrings.xml><?xml version="1.0" encoding="utf-8"?>
<sst xmlns="http://schemas.openxmlformats.org/spreadsheetml/2006/main" count="396" uniqueCount="222">
  <si>
    <t xml:space="preserve">Buckland Tout Saints Parish Council </t>
  </si>
  <si>
    <t>RECEIPTS</t>
  </si>
  <si>
    <t>Date</t>
  </si>
  <si>
    <t>Name</t>
  </si>
  <si>
    <t>Bank</t>
  </si>
  <si>
    <t>Cash</t>
  </si>
  <si>
    <t>Precept</t>
  </si>
  <si>
    <t>Other</t>
  </si>
  <si>
    <t xml:space="preserve"> </t>
  </si>
  <si>
    <t>TOTAL</t>
  </si>
  <si>
    <t>PAYMENTS</t>
  </si>
  <si>
    <t>Minuted</t>
  </si>
  <si>
    <t>Cheque/cash</t>
  </si>
  <si>
    <t>Reason</t>
  </si>
  <si>
    <t>Vat</t>
  </si>
  <si>
    <t>Number</t>
  </si>
  <si>
    <t>Staff</t>
  </si>
  <si>
    <t>S137</t>
  </si>
  <si>
    <t>Asset</t>
  </si>
  <si>
    <t>from Payments</t>
  </si>
  <si>
    <t>PAYE</t>
  </si>
  <si>
    <t>Net</t>
  </si>
  <si>
    <t>PAYE per HMRC</t>
  </si>
  <si>
    <t>Net per paye system</t>
  </si>
  <si>
    <t>Difference to net</t>
  </si>
  <si>
    <t>gross up Net</t>
  </si>
  <si>
    <t>derived annual Gross</t>
  </si>
  <si>
    <t>Total</t>
  </si>
  <si>
    <t xml:space="preserve">Balance </t>
  </si>
  <si>
    <t>Receipts (Sheet1)</t>
  </si>
  <si>
    <t>Payments (Sheet 2)</t>
  </si>
  <si>
    <t>Buckland Tout Saints Parish Council</t>
  </si>
  <si>
    <t>Bank reconciliation</t>
  </si>
  <si>
    <t>Balance per cash book</t>
  </si>
  <si>
    <t>Outstanding Lodgements</t>
  </si>
  <si>
    <t>Outstanding cheques</t>
  </si>
  <si>
    <t>Adjusted total</t>
  </si>
  <si>
    <t>Balance per Bank</t>
  </si>
  <si>
    <t>Difference</t>
  </si>
  <si>
    <t>telephone balance</t>
  </si>
  <si>
    <t>DALC</t>
  </si>
  <si>
    <t>SHDC Precept</t>
  </si>
  <si>
    <t>10.04.18</t>
  </si>
  <si>
    <t>Brought forward from 5th April 2018</t>
  </si>
  <si>
    <t>Balance on April 5th 2019?</t>
  </si>
  <si>
    <t>24.04.18</t>
  </si>
  <si>
    <t>DALC membership</t>
  </si>
  <si>
    <t>466</t>
  </si>
  <si>
    <t>H. Hamilton</t>
  </si>
  <si>
    <t>KB in Bloom</t>
  </si>
  <si>
    <t>Donation</t>
  </si>
  <si>
    <t>M. Moore</t>
  </si>
  <si>
    <t>Cakes for APM</t>
  </si>
  <si>
    <t>467</t>
  </si>
  <si>
    <t>469</t>
  </si>
  <si>
    <t>470</t>
  </si>
  <si>
    <t>25.04.18</t>
  </si>
  <si>
    <t>Composting toilet - SHDC</t>
  </si>
  <si>
    <t>1st April 2018 - 31st March 2019</t>
  </si>
  <si>
    <t>Date received</t>
  </si>
  <si>
    <t>Date cleared on Bank Statement</t>
  </si>
  <si>
    <t>Date of cheque</t>
  </si>
  <si>
    <t>as at</t>
  </si>
  <si>
    <t>Opening balance</t>
  </si>
  <si>
    <t>Receipts</t>
  </si>
  <si>
    <t xml:space="preserve">Payments </t>
  </si>
  <si>
    <t>helen, these dates need to be entered from bank statement</t>
  </si>
  <si>
    <t>Outstanding</t>
  </si>
  <si>
    <t>?</t>
  </si>
  <si>
    <t>count of outstanding</t>
  </si>
  <si>
    <t>this is the date for the reconciliation</t>
  </si>
  <si>
    <t>these rows will automatically populate based on the date selected for the reconciliation in E2</t>
  </si>
  <si>
    <t>Helen, these dates need to be entered from bank statement</t>
  </si>
  <si>
    <t>Code</t>
  </si>
  <si>
    <t>27.04.18</t>
  </si>
  <si>
    <t>12.04.18</t>
  </si>
  <si>
    <t>03.04.18</t>
  </si>
  <si>
    <t>HMRC</t>
  </si>
  <si>
    <t>465</t>
  </si>
  <si>
    <t>471</t>
  </si>
  <si>
    <t>472</t>
  </si>
  <si>
    <t>473</t>
  </si>
  <si>
    <t>22.05.18</t>
  </si>
  <si>
    <t>BTS Hotel</t>
  </si>
  <si>
    <t>Tea &amp; Coffee for APM</t>
  </si>
  <si>
    <t>Alison Marshall</t>
  </si>
  <si>
    <t>468</t>
  </si>
  <si>
    <t>Audit fees</t>
  </si>
  <si>
    <t>Zurich</t>
  </si>
  <si>
    <t>Annual Insurance Renewal</t>
  </si>
  <si>
    <t>03.05.18</t>
  </si>
  <si>
    <t>Ann Williams</t>
  </si>
  <si>
    <t>04.04.18</t>
  </si>
  <si>
    <t>14.05.18</t>
  </si>
  <si>
    <t>08.05.18</t>
  </si>
  <si>
    <t>04.05.18</t>
  </si>
  <si>
    <t>25.05.18</t>
  </si>
  <si>
    <t>31.05.18</t>
  </si>
  <si>
    <t>18/11.3</t>
  </si>
  <si>
    <t>18/18.9.c</t>
  </si>
  <si>
    <t>Total/Total.9.c</t>
  </si>
  <si>
    <t>26.06.18</t>
  </si>
  <si>
    <t>474</t>
  </si>
  <si>
    <t>475</t>
  </si>
  <si>
    <t>18/20.6</t>
  </si>
  <si>
    <t>13.06.18</t>
  </si>
  <si>
    <t>07.06.18</t>
  </si>
  <si>
    <t>20.07.18</t>
  </si>
  <si>
    <t>19.07.18</t>
  </si>
  <si>
    <t>24.07.18</t>
  </si>
  <si>
    <t>476</t>
  </si>
  <si>
    <t>10.08.18</t>
  </si>
  <si>
    <t>477</t>
  </si>
  <si>
    <t>14.08.18</t>
  </si>
  <si>
    <t>478</t>
  </si>
  <si>
    <t>Clerk Expenses - stationary</t>
  </si>
  <si>
    <t>23.08.18</t>
  </si>
  <si>
    <t>479</t>
  </si>
  <si>
    <t>BTS picnic expenses</t>
  </si>
  <si>
    <t>03.09.18</t>
  </si>
  <si>
    <t>480</t>
  </si>
  <si>
    <t>481</t>
  </si>
  <si>
    <t>18/24.6</t>
  </si>
  <si>
    <t>07.09.18</t>
  </si>
  <si>
    <t>11.09.18</t>
  </si>
  <si>
    <t>14.09.18</t>
  </si>
  <si>
    <t>482</t>
  </si>
  <si>
    <t>483</t>
  </si>
  <si>
    <t>484</t>
  </si>
  <si>
    <t>485</t>
  </si>
  <si>
    <t>486</t>
  </si>
  <si>
    <t>487</t>
  </si>
  <si>
    <t>488</t>
  </si>
  <si>
    <t>25.09.18</t>
  </si>
  <si>
    <t>03.10.18</t>
  </si>
  <si>
    <t>05.10.18</t>
  </si>
  <si>
    <t>23.10.18</t>
  </si>
  <si>
    <t>31.10.18</t>
  </si>
  <si>
    <t>J. Harrison</t>
  </si>
  <si>
    <t>Road Repairs</t>
  </si>
  <si>
    <t>29.10.18</t>
  </si>
  <si>
    <t>02.11.18</t>
  </si>
  <si>
    <t>Torr View Forge</t>
  </si>
  <si>
    <t>Refurb of church gate</t>
  </si>
  <si>
    <t>07.11.18</t>
  </si>
  <si>
    <t>Nicholas Jones Ltd</t>
  </si>
  <si>
    <t>18/27.4</t>
  </si>
  <si>
    <t>18/30.4</t>
  </si>
  <si>
    <t xml:space="preserve">Drain cover </t>
  </si>
  <si>
    <t>489</t>
  </si>
  <si>
    <t>27.11.18</t>
  </si>
  <si>
    <t>490</t>
  </si>
  <si>
    <t>M.Moore</t>
  </si>
  <si>
    <t>491</t>
  </si>
  <si>
    <t>Flowers for roadside</t>
  </si>
  <si>
    <t>M. Holland</t>
  </si>
  <si>
    <t>Refund for defib pads</t>
  </si>
  <si>
    <t>27.11.16</t>
  </si>
  <si>
    <t>J Bishop Haulage</t>
  </si>
  <si>
    <t>492</t>
  </si>
  <si>
    <t>493</t>
  </si>
  <si>
    <t>10.12.18</t>
  </si>
  <si>
    <t>O. Jones</t>
  </si>
  <si>
    <t>494</t>
  </si>
  <si>
    <t>Website maintenance</t>
  </si>
  <si>
    <t>07.01.19</t>
  </si>
  <si>
    <t>495</t>
  </si>
  <si>
    <t>H.Hamilton</t>
  </si>
  <si>
    <t>496</t>
  </si>
  <si>
    <t xml:space="preserve">Clerk Salary - Dec </t>
  </si>
  <si>
    <t>Clerk salary - Nov</t>
  </si>
  <si>
    <t>15.11.18</t>
  </si>
  <si>
    <t>11.12.18</t>
  </si>
  <si>
    <t>07.12.18</t>
  </si>
  <si>
    <t>14.12.18</t>
  </si>
  <si>
    <t>13.12.18</t>
  </si>
  <si>
    <t>18/33.4</t>
  </si>
  <si>
    <t>Plainings</t>
  </si>
  <si>
    <t>Clerk Salary - Oct</t>
  </si>
  <si>
    <t>Clerk Salary - Sept</t>
  </si>
  <si>
    <t>Clerk Salary - Aug</t>
  </si>
  <si>
    <t>Clerk Salary - July</t>
  </si>
  <si>
    <t>Clerk Salary - June</t>
  </si>
  <si>
    <t>Clerk Salary - May</t>
  </si>
  <si>
    <t>Clerk Salary - April</t>
  </si>
  <si>
    <t xml:space="preserve">BCHM - reimbursement of defib pads </t>
  </si>
  <si>
    <t>BTS Xmas Party</t>
  </si>
  <si>
    <t>15.01.19</t>
  </si>
  <si>
    <t>N</t>
  </si>
  <si>
    <t>01.02.19</t>
  </si>
  <si>
    <t>09.01.19</t>
  </si>
  <si>
    <t>497</t>
  </si>
  <si>
    <t>498</t>
  </si>
  <si>
    <t>Clerk Salary - Jan</t>
  </si>
  <si>
    <t>Alan Luscombe</t>
  </si>
  <si>
    <t>499</t>
  </si>
  <si>
    <t>Digger Hire</t>
  </si>
  <si>
    <t>Devon Air Ambulance</t>
  </si>
  <si>
    <t>500</t>
  </si>
  <si>
    <t>Donation - defib training</t>
  </si>
  <si>
    <t>19/01.4</t>
  </si>
  <si>
    <t>26.02.19</t>
  </si>
  <si>
    <t>501</t>
  </si>
  <si>
    <t>502</t>
  </si>
  <si>
    <t xml:space="preserve">Clerk Salary - Feb </t>
  </si>
  <si>
    <t>503</t>
  </si>
  <si>
    <t>PCC</t>
  </si>
  <si>
    <t>19/04.4</t>
  </si>
  <si>
    <t>18.02.19</t>
  </si>
  <si>
    <t>11.02.19</t>
  </si>
  <si>
    <t>21.02.19</t>
  </si>
  <si>
    <t>Grounds maintenance - graveyard</t>
  </si>
  <si>
    <t>26.03.19</t>
  </si>
  <si>
    <t>504</t>
  </si>
  <si>
    <t>Clerk salary - March</t>
  </si>
  <si>
    <t>505</t>
  </si>
  <si>
    <t>07.03.19</t>
  </si>
  <si>
    <t>13.03.19</t>
  </si>
  <si>
    <t>21.03.19</t>
  </si>
  <si>
    <t>29.03.19</t>
  </si>
  <si>
    <t>27.03.19</t>
  </si>
  <si>
    <t>19/07.4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</si>
</sst>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£&quot;#,##0.00;[Red]\-&quot;£&quot;#,##0.00"/>
    <numFmt numFmtId="164" formatCode="[$£-809]#,##0.00;[Red][$£-809]\-#,##0.00"/>
    <numFmt numFmtId="165" formatCode="d/m/yy;@"/>
    <numFmt numFmtId="166" formatCode="[$£-809]#,##0.00\ ;\-[$£-809]#,##0.00\ ;[$£-809]\-#\ ;@\ "/>
    <numFmt numFmtId="167" formatCode="[$£-809]#,##0.00;[Red]\-[$£-809]#,##0.00"/>
    <numFmt numFmtId="168" formatCode="dd/mm/yy;@"/>
    <numFmt numFmtId="169" formatCode="mm/dd/yy;@"/>
    <numFmt numFmtId="170" formatCode="\£#,##0.00;[Red]&quot;-£&quot;#,##0.00"/>
    <numFmt numFmtId="171" formatCode="&quot; £&quot;#,##0.00\ ;&quot;-£&quot;#,##0.00\ ;&quot; £-&quot;#\ ;@\ "/>
    <numFmt numFmtId="172" formatCode="0.0"/>
    <numFmt numFmtId="173" formatCode="[$£]#,##0.00;[Red]\-[$£]#,##0.00"/>
    <numFmt numFmtId="174" formatCode="d\-mmm\-yy;@"/>
    <numFmt numFmtId="175" formatCode="#,##0.00_ ;[Red]\-#,##0.00\ "/>
    <numFmt numFmtId="176" formatCode="#,##0_ ;[Red]\-#,##0\ "/>
  </numFmts>
  <fonts count="15" x14ac:knownFonts="1">
    <font>
      <sz val="10"/>
      <name val="Arial"/>
      <family val="2"/>
    </font>
    <font>
      <b/>
      <i/>
      <sz val="16"/>
      <name val="Arial"/>
      <family val="2"/>
    </font>
    <font>
      <b/>
      <i/>
      <u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8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78">
    <xf numFmtId="0" fontId="0" fillId="0" borderId="0" xfId="0"/>
    <xf numFmtId="0" fontId="8" fillId="0" borderId="0" xfId="1" applyAlignment="1">
      <alignment horizontal="center"/>
    </xf>
    <xf numFmtId="164" fontId="8" fillId="0" borderId="0" xfId="1" applyNumberFormat="1" applyAlignment="1">
      <alignment horizontal="center"/>
    </xf>
    <xf numFmtId="167" fontId="0" fillId="0" borderId="1" xfId="0" applyNumberFormat="1" applyBorder="1"/>
    <xf numFmtId="167" fontId="8" fillId="0" borderId="1" xfId="1" applyNumberFormat="1" applyBorder="1" applyAlignment="1">
      <alignment horizontal="right"/>
    </xf>
    <xf numFmtId="0" fontId="0" fillId="0" borderId="1" xfId="0" applyBorder="1"/>
    <xf numFmtId="14" fontId="0" fillId="0" borderId="0" xfId="0" applyNumberFormat="1"/>
    <xf numFmtId="171" fontId="8" fillId="0" borderId="0" xfId="1" applyNumberFormat="1"/>
    <xf numFmtId="166" fontId="8" fillId="0" borderId="0" xfId="1" applyNumberFormat="1" applyAlignment="1">
      <alignment horizontal="center"/>
    </xf>
    <xf numFmtId="14" fontId="8" fillId="0" borderId="0" xfId="1" applyNumberFormat="1" applyAlignment="1">
      <alignment horizontal="center"/>
    </xf>
    <xf numFmtId="14" fontId="4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4" fontId="5" fillId="0" borderId="1" xfId="1" applyNumberFormat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171" fontId="5" fillId="0" borderId="1" xfId="1" applyNumberFormat="1" applyFont="1" applyBorder="1" applyAlignment="1">
      <alignment horizontal="left" vertical="top" wrapText="1"/>
    </xf>
    <xf numFmtId="166" fontId="5" fillId="0" borderId="1" xfId="1" applyNumberFormat="1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1" applyFont="1" applyBorder="1" applyAlignment="1">
      <alignment horizontal="left"/>
    </xf>
    <xf numFmtId="167" fontId="8" fillId="0" borderId="0" xfId="1" applyNumberFormat="1"/>
    <xf numFmtId="167" fontId="0" fillId="0" borderId="1" xfId="1" applyNumberFormat="1" applyFont="1" applyBorder="1"/>
    <xf numFmtId="167" fontId="0" fillId="0" borderId="1" xfId="1" applyNumberFormat="1" applyFont="1" applyBorder="1" applyAlignment="1">
      <alignment horizontal="center"/>
    </xf>
    <xf numFmtId="167" fontId="8" fillId="0" borderId="1" xfId="1" applyNumberFormat="1" applyBorder="1" applyAlignment="1">
      <alignment horizontal="center"/>
    </xf>
    <xf numFmtId="172" fontId="0" fillId="0" borderId="1" xfId="1" applyNumberFormat="1" applyFont="1" applyBorder="1" applyAlignment="1">
      <alignment horizontal="center"/>
    </xf>
    <xf numFmtId="167" fontId="8" fillId="0" borderId="1" xfId="1" applyNumberFormat="1" applyBorder="1"/>
    <xf numFmtId="14" fontId="0" fillId="0" borderId="1" xfId="1" applyNumberFormat="1" applyFont="1" applyBorder="1" applyAlignment="1">
      <alignment horizontal="left"/>
    </xf>
    <xf numFmtId="167" fontId="0" fillId="0" borderId="0" xfId="1" applyNumberFormat="1" applyFont="1" applyAlignment="1">
      <alignment horizontal="right"/>
    </xf>
    <xf numFmtId="167" fontId="8" fillId="0" borderId="0" xfId="1" applyNumberFormat="1" applyAlignment="1">
      <alignment horizontal="center"/>
    </xf>
    <xf numFmtId="170" fontId="0" fillId="0" borderId="1" xfId="1" applyNumberFormat="1" applyFont="1" applyBorder="1" applyAlignment="1">
      <alignment horizontal="left"/>
    </xf>
    <xf numFmtId="14" fontId="0" fillId="0" borderId="1" xfId="0" applyNumberFormat="1" applyBorder="1"/>
    <xf numFmtId="167" fontId="0" fillId="0" borderId="1" xfId="0" applyNumberFormat="1" applyBorder="1" applyAlignment="1">
      <alignment horizontal="center"/>
    </xf>
    <xf numFmtId="0" fontId="0" fillId="0" borderId="4" xfId="0" applyBorder="1"/>
    <xf numFmtId="14" fontId="0" fillId="0" borderId="1" xfId="0" applyNumberFormat="1" applyBorder="1" applyAlignment="1">
      <alignment horizontal="left"/>
    </xf>
    <xf numFmtId="164" fontId="0" fillId="0" borderId="0" xfId="1" applyNumberFormat="1" applyFont="1" applyAlignment="1">
      <alignment horizontal="left"/>
    </xf>
    <xf numFmtId="167" fontId="0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right"/>
    </xf>
    <xf numFmtId="170" fontId="8" fillId="0" borderId="0" xfId="1" applyNumberFormat="1" applyAlignment="1">
      <alignment horizontal="center"/>
    </xf>
    <xf numFmtId="165" fontId="8" fillId="0" borderId="0" xfId="1" applyNumberFormat="1" applyAlignment="1">
      <alignment horizontal="center"/>
    </xf>
    <xf numFmtId="0" fontId="4" fillId="0" borderId="0" xfId="1" applyFont="1"/>
    <xf numFmtId="0" fontId="4" fillId="0" borderId="1" xfId="1" applyFont="1" applyBorder="1"/>
    <xf numFmtId="173" fontId="4" fillId="0" borderId="1" xfId="1" applyNumberFormat="1" applyFont="1" applyBorder="1" applyAlignment="1">
      <alignment horizontal="center"/>
    </xf>
    <xf numFmtId="173" fontId="8" fillId="0" borderId="1" xfId="1" applyNumberFormat="1" applyBorder="1" applyAlignment="1">
      <alignment horizontal="center"/>
    </xf>
    <xf numFmtId="0" fontId="8" fillId="0" borderId="0" xfId="1"/>
    <xf numFmtId="173" fontId="8" fillId="0" borderId="0" xfId="1" applyNumberFormat="1" applyAlignment="1">
      <alignment horizontal="center"/>
    </xf>
    <xf numFmtId="0" fontId="4" fillId="0" borderId="0" xfId="0" applyFont="1"/>
    <xf numFmtId="164" fontId="0" fillId="0" borderId="0" xfId="0" applyNumberFormat="1"/>
    <xf numFmtId="164" fontId="8" fillId="0" borderId="0" xfId="1" applyNumberFormat="1"/>
    <xf numFmtId="0" fontId="4" fillId="0" borderId="5" xfId="0" applyFont="1" applyBorder="1"/>
    <xf numFmtId="164" fontId="8" fillId="0" borderId="5" xfId="1" applyNumberFormat="1" applyBorder="1"/>
    <xf numFmtId="0" fontId="0" fillId="0" borderId="5" xfId="0" applyBorder="1"/>
    <xf numFmtId="0" fontId="8" fillId="0" borderId="5" xfId="1" applyBorder="1"/>
    <xf numFmtId="174" fontId="8" fillId="0" borderId="5" xfId="1" applyNumberFormat="1" applyBorder="1"/>
    <xf numFmtId="167" fontId="0" fillId="0" borderId="6" xfId="1" applyNumberFormat="1" applyFont="1" applyBorder="1" applyAlignment="1">
      <alignment horizontal="right"/>
    </xf>
    <xf numFmtId="167" fontId="8" fillId="0" borderId="6" xfId="1" applyNumberFormat="1" applyBorder="1" applyAlignment="1">
      <alignment horizontal="right"/>
    </xf>
    <xf numFmtId="167" fontId="0" fillId="0" borderId="4" xfId="1" applyNumberFormat="1" applyFont="1" applyBorder="1" applyAlignment="1">
      <alignment horizontal="center"/>
    </xf>
    <xf numFmtId="167" fontId="8" fillId="0" borderId="3" xfId="1" applyNumberFormat="1" applyBorder="1"/>
    <xf numFmtId="167" fontId="8" fillId="0" borderId="3" xfId="1" applyNumberFormat="1" applyBorder="1" applyAlignment="1">
      <alignment horizontal="center"/>
    </xf>
    <xf numFmtId="167" fontId="8" fillId="0" borderId="8" xfId="1" applyNumberFormat="1" applyBorder="1"/>
    <xf numFmtId="167" fontId="0" fillId="0" borderId="8" xfId="1" applyNumberFormat="1" applyFont="1" applyBorder="1" applyAlignment="1">
      <alignment horizontal="right"/>
    </xf>
    <xf numFmtId="167" fontId="8" fillId="0" borderId="8" xfId="1" applyNumberFormat="1" applyBorder="1" applyAlignment="1">
      <alignment horizontal="center"/>
    </xf>
    <xf numFmtId="0" fontId="0" fillId="0" borderId="7" xfId="1" applyFont="1" applyBorder="1" applyAlignment="1">
      <alignment horizontal="left"/>
    </xf>
    <xf numFmtId="170" fontId="0" fillId="0" borderId="7" xfId="1" applyNumberFormat="1" applyFont="1" applyBorder="1" applyAlignment="1">
      <alignment horizontal="left"/>
    </xf>
    <xf numFmtId="167" fontId="0" fillId="0" borderId="9" xfId="1" applyNumberFormat="1" applyFont="1" applyBorder="1" applyAlignment="1">
      <alignment horizontal="right"/>
    </xf>
    <xf numFmtId="167" fontId="8" fillId="0" borderId="10" xfId="1" applyNumberFormat="1" applyBorder="1"/>
    <xf numFmtId="14" fontId="0" fillId="0" borderId="3" xfId="0" applyNumberFormat="1" applyBorder="1"/>
    <xf numFmtId="167" fontId="8" fillId="0" borderId="3" xfId="1" applyNumberFormat="1" applyBorder="1" applyAlignment="1">
      <alignment horizontal="right"/>
    </xf>
    <xf numFmtId="14" fontId="0" fillId="0" borderId="8" xfId="0" applyNumberFormat="1" applyBorder="1" applyAlignment="1">
      <alignment horizontal="left"/>
    </xf>
    <xf numFmtId="0" fontId="0" fillId="0" borderId="8" xfId="1" applyFont="1" applyBorder="1" applyAlignment="1">
      <alignment horizontal="left"/>
    </xf>
    <xf numFmtId="164" fontId="10" fillId="0" borderId="0" xfId="1" applyNumberFormat="1" applyFont="1" applyAlignment="1">
      <alignment horizontal="center"/>
    </xf>
    <xf numFmtId="0" fontId="10" fillId="0" borderId="0" xfId="0" applyFont="1"/>
    <xf numFmtId="164" fontId="10" fillId="0" borderId="0" xfId="1" applyNumberFormat="1" applyFont="1"/>
    <xf numFmtId="165" fontId="10" fillId="0" borderId="0" xfId="1" applyNumberFormat="1" applyFont="1" applyAlignment="1">
      <alignment horizontal="center"/>
    </xf>
    <xf numFmtId="165" fontId="11" fillId="0" borderId="0" xfId="1" applyNumberFormat="1" applyFont="1" applyAlignment="1">
      <alignment horizontal="center"/>
    </xf>
    <xf numFmtId="165" fontId="10" fillId="0" borderId="1" xfId="1" applyNumberFormat="1" applyFont="1" applyBorder="1" applyAlignment="1">
      <alignment horizontal="center" vertical="top" wrapText="1"/>
    </xf>
    <xf numFmtId="0" fontId="10" fillId="0" borderId="1" xfId="1" applyFont="1" applyBorder="1" applyAlignment="1">
      <alignment vertical="top" wrapText="1"/>
    </xf>
    <xf numFmtId="166" fontId="10" fillId="0" borderId="1" xfId="1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164" fontId="10" fillId="0" borderId="1" xfId="1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165" fontId="10" fillId="0" borderId="1" xfId="1" applyNumberFormat="1" applyFont="1" applyBorder="1" applyAlignment="1">
      <alignment horizontal="center"/>
    </xf>
    <xf numFmtId="0" fontId="10" fillId="0" borderId="1" xfId="1" applyFont="1" applyBorder="1"/>
    <xf numFmtId="167" fontId="10" fillId="0" borderId="1" xfId="1" applyNumberFormat="1" applyFont="1" applyBorder="1"/>
    <xf numFmtId="167" fontId="10" fillId="0" borderId="1" xfId="0" applyNumberFormat="1" applyFont="1" applyBorder="1"/>
    <xf numFmtId="167" fontId="10" fillId="0" borderId="1" xfId="1" applyNumberFormat="1" applyFont="1" applyBorder="1" applyAlignment="1">
      <alignment horizontal="right"/>
    </xf>
    <xf numFmtId="167" fontId="10" fillId="0" borderId="1" xfId="0" applyNumberFormat="1" applyFont="1" applyBorder="1" applyAlignment="1">
      <alignment horizontal="right"/>
    </xf>
    <xf numFmtId="169" fontId="10" fillId="0" borderId="1" xfId="1" applyNumberFormat="1" applyFont="1" applyBorder="1" applyAlignment="1">
      <alignment horizontal="center"/>
    </xf>
    <xf numFmtId="165" fontId="11" fillId="0" borderId="1" xfId="1" applyNumberFormat="1" applyFont="1" applyBorder="1" applyAlignment="1">
      <alignment horizontal="center"/>
    </xf>
    <xf numFmtId="167" fontId="11" fillId="0" borderId="1" xfId="1" applyNumberFormat="1" applyFont="1" applyBorder="1" applyAlignment="1">
      <alignment horizontal="right"/>
    </xf>
    <xf numFmtId="167" fontId="11" fillId="0" borderId="1" xfId="1" applyNumberFormat="1" applyFont="1" applyBorder="1"/>
    <xf numFmtId="0" fontId="10" fillId="0" borderId="1" xfId="0" applyFont="1" applyBorder="1"/>
    <xf numFmtId="165" fontId="11" fillId="0" borderId="1" xfId="1" applyNumberFormat="1" applyFont="1" applyBorder="1" applyAlignment="1">
      <alignment horizontal="left"/>
    </xf>
    <xf numFmtId="167" fontId="11" fillId="0" borderId="2" xfId="1" applyNumberFormat="1" applyFont="1" applyBorder="1" applyAlignment="1">
      <alignment horizontal="right"/>
    </xf>
    <xf numFmtId="170" fontId="10" fillId="0" borderId="3" xfId="0" applyNumberFormat="1" applyFont="1" applyBorder="1" applyAlignment="1">
      <alignment horizontal="right"/>
    </xf>
    <xf numFmtId="164" fontId="10" fillId="0" borderId="3" xfId="1" applyNumberFormat="1" applyFont="1" applyBorder="1"/>
    <xf numFmtId="0" fontId="10" fillId="0" borderId="3" xfId="0" applyFont="1" applyBorder="1"/>
    <xf numFmtId="170" fontId="10" fillId="0" borderId="1" xfId="1" applyNumberFormat="1" applyFont="1" applyBorder="1" applyAlignment="1">
      <alignment horizontal="right"/>
    </xf>
    <xf numFmtId="164" fontId="11" fillId="0" borderId="1" xfId="1" applyNumberFormat="1" applyFont="1" applyBorder="1"/>
    <xf numFmtId="170" fontId="10" fillId="0" borderId="1" xfId="0" applyNumberFormat="1" applyFont="1" applyBorder="1" applyAlignment="1">
      <alignment horizontal="right"/>
    </xf>
    <xf numFmtId="164" fontId="10" fillId="0" borderId="1" xfId="1" applyNumberFormat="1" applyFont="1" applyBorder="1"/>
    <xf numFmtId="166" fontId="11" fillId="0" borderId="1" xfId="0" applyNumberFormat="1" applyFont="1" applyBorder="1"/>
    <xf numFmtId="170" fontId="11" fillId="0" borderId="1" xfId="1" applyNumberFormat="1" applyFont="1" applyBorder="1" applyAlignment="1">
      <alignment horizontal="right"/>
    </xf>
    <xf numFmtId="0" fontId="11" fillId="0" borderId="1" xfId="0" applyFont="1" applyBorder="1"/>
    <xf numFmtId="0" fontId="11" fillId="0" borderId="0" xfId="0" applyFont="1"/>
    <xf numFmtId="0" fontId="10" fillId="0" borderId="0" xfId="1" applyFont="1" applyAlignment="1">
      <alignment horizontal="center"/>
    </xf>
    <xf numFmtId="49" fontId="0" fillId="0" borderId="1" xfId="1" quotePrefix="1" applyNumberFormat="1" applyFont="1" applyBorder="1" applyAlignment="1">
      <alignment horizontal="center"/>
    </xf>
    <xf numFmtId="0" fontId="0" fillId="0" borderId="1" xfId="1" applyFont="1" applyBorder="1"/>
    <xf numFmtId="165" fontId="0" fillId="0" borderId="1" xfId="1" applyNumberFormat="1" applyFont="1" applyBorder="1" applyAlignment="1">
      <alignment horizontal="center"/>
    </xf>
    <xf numFmtId="8" fontId="10" fillId="0" borderId="0" xfId="0" applyNumberFormat="1" applyFont="1" applyAlignment="1">
      <alignment horizontal="right"/>
    </xf>
    <xf numFmtId="0" fontId="7" fillId="0" borderId="5" xfId="1" applyFont="1" applyBorder="1" applyAlignment="1">
      <alignment horizontal="center"/>
    </xf>
    <xf numFmtId="168" fontId="4" fillId="0" borderId="5" xfId="1" applyNumberFormat="1" applyFont="1" applyBorder="1"/>
    <xf numFmtId="0" fontId="7" fillId="0" borderId="5" xfId="1" applyFont="1" applyBorder="1" applyAlignment="1">
      <alignment horizontal="left"/>
    </xf>
    <xf numFmtId="175" fontId="7" fillId="0" borderId="5" xfId="1" applyNumberFormat="1" applyFont="1" applyBorder="1" applyAlignment="1">
      <alignment horizontal="right"/>
    </xf>
    <xf numFmtId="175" fontId="8" fillId="0" borderId="5" xfId="1" applyNumberFormat="1" applyBorder="1" applyAlignment="1">
      <alignment horizontal="right"/>
    </xf>
    <xf numFmtId="0" fontId="8" fillId="0" borderId="5" xfId="1" applyBorder="1" applyAlignment="1">
      <alignment horizontal="right"/>
    </xf>
    <xf numFmtId="164" fontId="8" fillId="0" borderId="5" xfId="1" applyNumberFormat="1" applyBorder="1" applyAlignment="1">
      <alignment horizontal="right"/>
    </xf>
    <xf numFmtId="0" fontId="7" fillId="2" borderId="5" xfId="1" applyFont="1" applyFill="1" applyBorder="1" applyAlignment="1">
      <alignment horizontal="left"/>
    </xf>
    <xf numFmtId="0" fontId="8" fillId="2" borderId="5" xfId="1" applyFill="1" applyBorder="1" applyAlignment="1">
      <alignment horizontal="right"/>
    </xf>
    <xf numFmtId="164" fontId="8" fillId="2" borderId="5" xfId="1" applyNumberFormat="1" applyFill="1" applyBorder="1" applyAlignment="1">
      <alignment horizontal="right"/>
    </xf>
    <xf numFmtId="175" fontId="7" fillId="2" borderId="5" xfId="1" applyNumberFormat="1" applyFont="1" applyFill="1" applyBorder="1" applyAlignment="1">
      <alignment horizontal="right"/>
    </xf>
    <xf numFmtId="176" fontId="10" fillId="0" borderId="1" xfId="0" applyNumberFormat="1" applyFont="1" applyBorder="1"/>
    <xf numFmtId="167" fontId="10" fillId="0" borderId="4" xfId="1" applyNumberFormat="1" applyFont="1" applyBorder="1"/>
    <xf numFmtId="0" fontId="10" fillId="0" borderId="7" xfId="0" applyFont="1" applyBorder="1" applyAlignment="1">
      <alignment horizontal="right" vertical="top" wrapText="1"/>
    </xf>
    <xf numFmtId="167" fontId="10" fillId="0" borderId="3" xfId="0" applyNumberFormat="1" applyFont="1" applyBorder="1" applyAlignment="1">
      <alignment horizontal="right"/>
    </xf>
    <xf numFmtId="0" fontId="10" fillId="0" borderId="8" xfId="0" applyFont="1" applyBorder="1"/>
    <xf numFmtId="0" fontId="0" fillId="0" borderId="8" xfId="0" applyBorder="1"/>
    <xf numFmtId="0" fontId="0" fillId="0" borderId="12" xfId="0" applyBorder="1"/>
    <xf numFmtId="175" fontId="0" fillId="0" borderId="11" xfId="0" applyNumberFormat="1" applyBorder="1"/>
    <xf numFmtId="0" fontId="12" fillId="2" borderId="5" xfId="1" applyFont="1" applyFill="1" applyBorder="1"/>
    <xf numFmtId="0" fontId="7" fillId="2" borderId="5" xfId="1" applyFont="1" applyFill="1" applyBorder="1" applyAlignment="1">
      <alignment horizontal="right"/>
    </xf>
    <xf numFmtId="164" fontId="7" fillId="2" borderId="5" xfId="1" applyNumberFormat="1" applyFont="1" applyFill="1" applyBorder="1" applyAlignment="1">
      <alignment horizontal="right"/>
    </xf>
    <xf numFmtId="175" fontId="12" fillId="2" borderId="5" xfId="1" applyNumberFormat="1" applyFont="1" applyFill="1" applyBorder="1" applyAlignment="1">
      <alignment horizontal="right"/>
    </xf>
    <xf numFmtId="0" fontId="12" fillId="2" borderId="5" xfId="0" applyFont="1" applyFill="1" applyBorder="1"/>
    <xf numFmtId="0" fontId="7" fillId="2" borderId="5" xfId="1" applyFont="1" applyFill="1" applyBorder="1"/>
    <xf numFmtId="164" fontId="7" fillId="2" borderId="5" xfId="1" applyNumberFormat="1" applyFont="1" applyFill="1" applyBorder="1"/>
    <xf numFmtId="164" fontId="12" fillId="2" borderId="10" xfId="1" applyNumberFormat="1" applyFont="1" applyFill="1" applyBorder="1"/>
    <xf numFmtId="0" fontId="7" fillId="2" borderId="5" xfId="0" applyFont="1" applyFill="1" applyBorder="1"/>
    <xf numFmtId="164" fontId="7" fillId="2" borderId="13" xfId="1" applyNumberFormat="1" applyFont="1" applyFill="1" applyBorder="1"/>
    <xf numFmtId="165" fontId="8" fillId="0" borderId="0" xfId="1" applyNumberFormat="1" applyAlignment="1">
      <alignment horizontal="center" wrapText="1"/>
    </xf>
    <xf numFmtId="49" fontId="8" fillId="3" borderId="0" xfId="1" applyNumberFormat="1" applyFill="1" applyAlignment="1">
      <alignment horizontal="center"/>
    </xf>
    <xf numFmtId="164" fontId="4" fillId="3" borderId="0" xfId="1" applyNumberFormat="1" applyFont="1" applyFill="1" applyAlignment="1">
      <alignment horizontal="center"/>
    </xf>
    <xf numFmtId="0" fontId="10" fillId="3" borderId="6" xfId="0" applyFont="1" applyFill="1" applyBorder="1" applyAlignment="1">
      <alignment horizontal="right" vertical="top" wrapText="1"/>
    </xf>
    <xf numFmtId="167" fontId="0" fillId="3" borderId="1" xfId="1" applyNumberFormat="1" applyFont="1" applyFill="1" applyBorder="1" applyAlignment="1">
      <alignment horizontal="center"/>
    </xf>
    <xf numFmtId="167" fontId="8" fillId="3" borderId="0" xfId="1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164" fontId="8" fillId="3" borderId="0" xfId="1" applyNumberFormat="1" applyFill="1" applyAlignment="1">
      <alignment horizontal="center"/>
    </xf>
    <xf numFmtId="0" fontId="10" fillId="3" borderId="0" xfId="0" applyFont="1" applyFill="1" applyAlignment="1">
      <alignment vertical="top" wrapText="1"/>
    </xf>
    <xf numFmtId="0" fontId="10" fillId="3" borderId="0" xfId="0" applyFont="1" applyFill="1"/>
    <xf numFmtId="0" fontId="0" fillId="3" borderId="0" xfId="0" applyFill="1"/>
    <xf numFmtId="0" fontId="0" fillId="3" borderId="0" xfId="0" applyFill="1" applyAlignment="1">
      <alignment horizontal="left" vertical="top" wrapText="1"/>
    </xf>
    <xf numFmtId="0" fontId="11" fillId="3" borderId="0" xfId="0" applyFont="1" applyFill="1"/>
    <xf numFmtId="167" fontId="11" fillId="3" borderId="2" xfId="1" applyNumberFormat="1" applyFont="1" applyFill="1" applyBorder="1" applyAlignment="1">
      <alignment horizontal="right"/>
    </xf>
    <xf numFmtId="0" fontId="10" fillId="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165" fontId="0" fillId="0" borderId="0" xfId="1" applyNumberFormat="1" applyFont="1" applyAlignment="1">
      <alignment horizontal="center"/>
    </xf>
    <xf numFmtId="16" fontId="0" fillId="0" borderId="0" xfId="0" applyNumberFormat="1"/>
    <xf numFmtId="171" fontId="5" fillId="0" borderId="0" xfId="1" applyNumberFormat="1" applyFont="1" applyAlignment="1">
      <alignment horizontal="left" vertical="top" wrapText="1"/>
    </xf>
    <xf numFmtId="166" fontId="5" fillId="0" borderId="0" xfId="1" applyNumberFormat="1" applyFont="1" applyAlignment="1">
      <alignment horizontal="left" vertical="top" wrapText="1"/>
    </xf>
    <xf numFmtId="0" fontId="0" fillId="0" borderId="1" xfId="1" applyFont="1" applyBorder="1" applyAlignment="1">
      <alignment horizontal="left" vertical="top" wrapText="1"/>
    </xf>
    <xf numFmtId="14" fontId="0" fillId="0" borderId="1" xfId="1" applyNumberFormat="1" applyFont="1" applyBorder="1" applyAlignment="1">
      <alignment horizontal="left" vertical="top" wrapText="1"/>
    </xf>
    <xf numFmtId="171" fontId="8" fillId="0" borderId="6" xfId="1" applyNumberFormat="1" applyBorder="1" applyAlignment="1">
      <alignment horizontal="right" vertical="top" wrapText="1"/>
    </xf>
    <xf numFmtId="14" fontId="0" fillId="0" borderId="7" xfId="1" applyNumberFormat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3" borderId="0" xfId="0" applyFill="1" applyAlignment="1">
      <alignment horizontal="right"/>
    </xf>
    <xf numFmtId="165" fontId="0" fillId="0" borderId="0" xfId="1" applyNumberFormat="1" applyFont="1" applyAlignment="1">
      <alignment horizontal="center" wrapText="1"/>
    </xf>
    <xf numFmtId="172" fontId="0" fillId="0" borderId="0" xfId="1" applyNumberFormat="1" applyFont="1" applyAlignment="1">
      <alignment horizontal="center"/>
    </xf>
    <xf numFmtId="49" fontId="0" fillId="0" borderId="1" xfId="1" applyNumberFormat="1" applyFont="1" applyBorder="1" applyAlignment="1">
      <alignment horizontal="center"/>
    </xf>
    <xf numFmtId="168" fontId="0" fillId="0" borderId="1" xfId="1" applyNumberFormat="1" applyFont="1" applyBorder="1" applyAlignment="1">
      <alignment horizontal="center"/>
    </xf>
    <xf numFmtId="166" fontId="8" fillId="0" borderId="1" xfId="1" applyNumberFormat="1" applyBorder="1" applyAlignment="1">
      <alignment horizontal="center" vertical="top" wrapText="1"/>
    </xf>
    <xf numFmtId="166" fontId="8" fillId="0" borderId="4" xfId="1" applyNumberFormat="1" applyBorder="1" applyAlignment="1">
      <alignment horizontal="center" vertical="top" wrapText="1"/>
    </xf>
    <xf numFmtId="165" fontId="0" fillId="0" borderId="0" xfId="1" applyNumberFormat="1" applyFont="1" applyAlignment="1">
      <alignment horizontal="center"/>
    </xf>
    <xf numFmtId="165" fontId="9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10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0" fillId="0" borderId="0" xfId="1" applyFont="1" applyAlignment="1">
      <alignment horizontal="center"/>
    </xf>
    <xf numFmtId="0" fontId="7" fillId="0" borderId="5" xfId="1" applyFont="1" applyBorder="1" applyAlignment="1">
      <alignment horizontal="center"/>
    </xf>
  </cellXfs>
  <cellStyles count="6">
    <cellStyle name="Default 1" xfId="1" xr:uid="{00000000-0005-0000-0000-000000000000}"/>
    <cellStyle name="Heading 1" xfId="2" builtinId="16" customBuiltin="1"/>
    <cellStyle name="Heading1 1" xfId="3" xr:uid="{00000000-0005-0000-0000-000002000000}"/>
    <cellStyle name="Normal" xfId="0" builtinId="0"/>
    <cellStyle name="Result 1" xfId="4" xr:uid="{00000000-0005-0000-0000-000004000000}"/>
    <cellStyle name="Result2 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304800</xdr:rowOff>
    </xdr:from>
    <xdr:to>
      <xdr:col>10</xdr:col>
      <xdr:colOff>403860</xdr:colOff>
      <xdr:row>5</xdr:row>
      <xdr:rowOff>160020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>
          <a:off x="9860280" y="304800"/>
          <a:ext cx="22860" cy="84582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5715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381000</xdr:colOff>
      <xdr:row>0</xdr:row>
      <xdr:rowOff>304800</xdr:rowOff>
    </xdr:from>
    <xdr:to>
      <xdr:col>17</xdr:col>
      <xdr:colOff>403860</xdr:colOff>
      <xdr:row>5</xdr:row>
      <xdr:rowOff>160020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 bwMode="auto">
        <a:xfrm>
          <a:off x="10111740" y="304800"/>
          <a:ext cx="22860" cy="84582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5715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</xdr:colOff>
      <xdr:row>1</xdr:row>
      <xdr:rowOff>99060</xdr:rowOff>
    </xdr:from>
    <xdr:to>
      <xdr:col>5</xdr:col>
      <xdr:colOff>838200</xdr:colOff>
      <xdr:row>1</xdr:row>
      <xdr:rowOff>99060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 bwMode="auto">
        <a:xfrm flipH="1">
          <a:off x="6370320" y="266700"/>
          <a:ext cx="82296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45720</xdr:colOff>
      <xdr:row>10</xdr:row>
      <xdr:rowOff>91440</xdr:rowOff>
    </xdr:from>
    <xdr:to>
      <xdr:col>5</xdr:col>
      <xdr:colOff>853440</xdr:colOff>
      <xdr:row>10</xdr:row>
      <xdr:rowOff>99060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 bwMode="auto">
        <a:xfrm flipH="1" flipV="1">
          <a:off x="6400800" y="2072640"/>
          <a:ext cx="807720" cy="762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15240</xdr:colOff>
      <xdr:row>10</xdr:row>
      <xdr:rowOff>83820</xdr:rowOff>
    </xdr:from>
    <xdr:to>
      <xdr:col>5</xdr:col>
      <xdr:colOff>861060</xdr:colOff>
      <xdr:row>15</xdr:row>
      <xdr:rowOff>60960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 bwMode="auto">
        <a:xfrm flipH="1">
          <a:off x="6370320" y="2065020"/>
          <a:ext cx="845820" cy="81534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83820</xdr:colOff>
      <xdr:row>11</xdr:row>
      <xdr:rowOff>45720</xdr:rowOff>
    </xdr:from>
    <xdr:to>
      <xdr:col>6</xdr:col>
      <xdr:colOff>320040</xdr:colOff>
      <xdr:row>17</xdr:row>
      <xdr:rowOff>129540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 bwMode="auto">
        <a:xfrm flipH="1">
          <a:off x="6438900" y="2194560"/>
          <a:ext cx="1120140" cy="108966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53340</xdr:colOff>
      <xdr:row>11</xdr:row>
      <xdr:rowOff>76200</xdr:rowOff>
    </xdr:from>
    <xdr:to>
      <xdr:col>6</xdr:col>
      <xdr:colOff>312420</xdr:colOff>
      <xdr:row>27</xdr:row>
      <xdr:rowOff>106680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 bwMode="auto">
        <a:xfrm flipH="1">
          <a:off x="6408420" y="2225040"/>
          <a:ext cx="1143000" cy="27051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5"/>
  <sheetViews>
    <sheetView tabSelected="1" workbookViewId="0">
      <selection activeCell="C23" sqref="C23"/>
    </sheetView>
  </sheetViews>
  <sheetFormatPr defaultColWidth="11.5703125" defaultRowHeight="12.95" customHeight="1" x14ac:dyDescent="0.2"/>
  <cols>
    <col min="1" max="1" width="3.7109375" style="147" customWidth="1"/>
    <col min="2" max="2" width="14" style="104" customWidth="1"/>
    <col min="3" max="3" width="36.7109375" style="70" customWidth="1"/>
    <col min="4" max="4" width="14" style="70" customWidth="1"/>
    <col min="5" max="5" width="10.42578125" style="70" customWidth="1"/>
    <col min="6" max="7" width="13.28515625" style="70" customWidth="1"/>
    <col min="8" max="8" width="14.85546875" style="70" customWidth="1"/>
    <col min="9" max="9" width="11.140625" style="70" customWidth="1"/>
    <col min="10" max="10" width="11.140625" style="147" customWidth="1"/>
    <col min="11" max="12" width="11.5703125" style="70"/>
    <col min="13" max="13" width="11.5703125" style="147"/>
    <col min="14" max="16384" width="11.5703125" style="70"/>
  </cols>
  <sheetData>
    <row r="1" spans="1:14" ht="25.35" customHeight="1" x14ac:dyDescent="0.25">
      <c r="B1" s="172" t="s">
        <v>0</v>
      </c>
      <c r="C1" s="172"/>
      <c r="D1" s="69"/>
      <c r="F1" s="71"/>
      <c r="K1" s="70" t="s">
        <v>66</v>
      </c>
    </row>
    <row r="2" spans="1:14" ht="12.75" x14ac:dyDescent="0.2">
      <c r="B2" s="72"/>
      <c r="D2" s="69"/>
      <c r="F2" s="71"/>
    </row>
    <row r="3" spans="1:14" ht="13.35" customHeight="1" x14ac:dyDescent="0.2">
      <c r="B3" s="173" t="s">
        <v>58</v>
      </c>
      <c r="C3" s="174"/>
      <c r="D3" s="69"/>
      <c r="F3" s="71"/>
    </row>
    <row r="4" spans="1:14" ht="12.75" x14ac:dyDescent="0.2">
      <c r="B4" s="72"/>
      <c r="D4" s="69"/>
      <c r="F4" s="71"/>
    </row>
    <row r="5" spans="1:14" ht="12.75" x14ac:dyDescent="0.2">
      <c r="B5" s="73" t="s">
        <v>1</v>
      </c>
      <c r="D5" s="69"/>
      <c r="F5" s="71"/>
    </row>
    <row r="6" spans="1:14" ht="12.75" x14ac:dyDescent="0.2">
      <c r="B6" s="72"/>
      <c r="D6" s="69"/>
      <c r="F6" s="71"/>
    </row>
    <row r="7" spans="1:14" s="79" customFormat="1" ht="38.25" x14ac:dyDescent="0.2">
      <c r="A7" s="146"/>
      <c r="B7" s="74" t="s">
        <v>59</v>
      </c>
      <c r="C7" s="75" t="s">
        <v>3</v>
      </c>
      <c r="D7" s="76" t="s">
        <v>4</v>
      </c>
      <c r="E7" s="122" t="s">
        <v>5</v>
      </c>
      <c r="F7" s="78" t="s">
        <v>68</v>
      </c>
      <c r="G7" s="77" t="s">
        <v>6</v>
      </c>
      <c r="H7" s="77" t="s">
        <v>7</v>
      </c>
      <c r="I7" s="83"/>
      <c r="J7" s="141" t="s">
        <v>67</v>
      </c>
      <c r="K7" s="79" t="s">
        <v>60</v>
      </c>
      <c r="M7" s="146" t="s">
        <v>69</v>
      </c>
    </row>
    <row r="8" spans="1:14" ht="12.75" x14ac:dyDescent="0.2">
      <c r="A8" s="147" t="str">
        <f>IF(J8="Y",J8&amp;M8,"")</f>
        <v/>
      </c>
      <c r="B8" s="107" t="s">
        <v>42</v>
      </c>
      <c r="C8" s="106" t="s">
        <v>41</v>
      </c>
      <c r="D8" s="108">
        <v>2109</v>
      </c>
      <c r="E8" s="124"/>
      <c r="F8" s="121"/>
      <c r="G8" s="83">
        <v>2109</v>
      </c>
      <c r="H8" s="83"/>
      <c r="I8" s="83"/>
      <c r="J8" s="164" t="str">
        <f>IF(ISBLANK(B8),"",IF(K8&lt;Rec!$E$2,"Y","N"))</f>
        <v>N</v>
      </c>
      <c r="K8" s="156" t="s">
        <v>75</v>
      </c>
      <c r="M8" s="147">
        <f>COUNTIF($J$7:J8,"Y")</f>
        <v>0</v>
      </c>
    </row>
    <row r="9" spans="1:14" ht="12.75" x14ac:dyDescent="0.2">
      <c r="A9" s="147" t="str">
        <f t="shared" ref="A9:A21" si="0">IF(J9="Y",J9&amp;M9,"")</f>
        <v/>
      </c>
      <c r="B9" s="107" t="s">
        <v>56</v>
      </c>
      <c r="C9" s="106" t="s">
        <v>57</v>
      </c>
      <c r="D9" s="84">
        <v>500</v>
      </c>
      <c r="E9" s="123"/>
      <c r="F9" s="82"/>
      <c r="G9" s="83"/>
      <c r="H9" s="83">
        <v>500</v>
      </c>
      <c r="I9" s="83"/>
      <c r="J9" s="164" t="str">
        <f>IF(ISBLANK(B9),"",IF(K9&lt;Rec!$E$2,"Y","N"))</f>
        <v>N</v>
      </c>
      <c r="K9" s="156" t="s">
        <v>74</v>
      </c>
      <c r="M9" s="147">
        <f>COUNTIF($J$7:J9,"Y")</f>
        <v>0</v>
      </c>
      <c r="N9" s="120"/>
    </row>
    <row r="10" spans="1:14" ht="12.75" x14ac:dyDescent="0.2">
      <c r="A10" s="147" t="str">
        <f t="shared" si="0"/>
        <v/>
      </c>
      <c r="B10" s="107" t="s">
        <v>90</v>
      </c>
      <c r="C10" s="106" t="s">
        <v>91</v>
      </c>
      <c r="D10" s="84">
        <v>120</v>
      </c>
      <c r="E10" s="85"/>
      <c r="F10" s="82"/>
      <c r="G10" s="83"/>
      <c r="H10" s="83">
        <v>120</v>
      </c>
      <c r="I10" s="83"/>
      <c r="J10" s="164" t="str">
        <f>IF(ISBLANK(B10),"",IF(K10&lt;Rec!$E$2,"Y","N"))</f>
        <v>N</v>
      </c>
      <c r="K10" s="156" t="s">
        <v>90</v>
      </c>
      <c r="M10" s="147">
        <f>COUNTIF($J$7:J10,"Y")</f>
        <v>0</v>
      </c>
    </row>
    <row r="11" spans="1:14" ht="12.75" x14ac:dyDescent="0.2">
      <c r="A11" s="147" t="str">
        <f t="shared" si="0"/>
        <v/>
      </c>
      <c r="B11" s="107" t="s">
        <v>123</v>
      </c>
      <c r="C11" s="106" t="s">
        <v>41</v>
      </c>
      <c r="D11" s="84">
        <v>2064</v>
      </c>
      <c r="E11" s="85"/>
      <c r="F11" s="82"/>
      <c r="G11" s="83">
        <v>2064</v>
      </c>
      <c r="H11" s="83"/>
      <c r="I11" s="83"/>
      <c r="J11" s="164" t="str">
        <f>IF(ISBLANK(B11),"",IF(K11&lt;Rec!$E$2,"Y","N"))</f>
        <v>N</v>
      </c>
      <c r="K11" t="s">
        <v>124</v>
      </c>
      <c r="M11" s="147">
        <f>COUNTIF($J$7:J11,"Y")</f>
        <v>0</v>
      </c>
    </row>
    <row r="12" spans="1:14" ht="12.75" x14ac:dyDescent="0.2">
      <c r="A12" s="147" t="str">
        <f t="shared" si="0"/>
        <v/>
      </c>
      <c r="B12" s="168" t="s">
        <v>150</v>
      </c>
      <c r="C12" s="106" t="s">
        <v>185</v>
      </c>
      <c r="D12" s="84">
        <v>156</v>
      </c>
      <c r="E12" s="85"/>
      <c r="F12" s="83"/>
      <c r="G12" s="83"/>
      <c r="H12" s="83">
        <v>156</v>
      </c>
      <c r="I12" s="83"/>
      <c r="J12" s="164" t="str">
        <f>IF(ISBLANK(B12),"",IF(K12&lt;Rec!$E$2,"Y","N"))</f>
        <v>N</v>
      </c>
      <c r="K12" s="156" t="s">
        <v>173</v>
      </c>
      <c r="M12" s="147">
        <f>COUNTIF($J$7:J12,"Y")</f>
        <v>0</v>
      </c>
    </row>
    <row r="13" spans="1:14" ht="12.75" x14ac:dyDescent="0.2">
      <c r="A13" s="147" t="str">
        <f t="shared" si="0"/>
        <v/>
      </c>
      <c r="B13" s="168" t="s">
        <v>187</v>
      </c>
      <c r="C13" s="106" t="s">
        <v>186</v>
      </c>
      <c r="D13" s="84">
        <v>118.82</v>
      </c>
      <c r="E13" s="85"/>
      <c r="F13" s="83"/>
      <c r="G13" s="83"/>
      <c r="H13" s="83"/>
      <c r="I13" s="83"/>
      <c r="J13" s="164" t="s">
        <v>188</v>
      </c>
      <c r="K13" s="156" t="s">
        <v>189</v>
      </c>
      <c r="M13" s="147">
        <f>COUNTIF($J$7:J13,"Y")</f>
        <v>0</v>
      </c>
    </row>
    <row r="14" spans="1:14" ht="12.75" x14ac:dyDescent="0.2">
      <c r="A14" s="147" t="str">
        <f t="shared" si="0"/>
        <v/>
      </c>
      <c r="B14" s="86"/>
      <c r="C14" s="81"/>
      <c r="D14" s="84"/>
      <c r="E14" s="85"/>
      <c r="F14" s="82"/>
      <c r="G14" s="83"/>
      <c r="H14" s="83"/>
      <c r="I14" s="83"/>
      <c r="J14" s="164" t="str">
        <f>IF(ISBLANK(B14),"",IF(K14&lt;Rec!$E$2,"Y","N"))</f>
        <v/>
      </c>
      <c r="M14" s="147">
        <f>COUNTIF($J$7:J14,"Y")</f>
        <v>0</v>
      </c>
    </row>
    <row r="15" spans="1:14" ht="12.75" x14ac:dyDescent="0.2">
      <c r="A15" s="147" t="str">
        <f t="shared" si="0"/>
        <v/>
      </c>
      <c r="B15" s="80"/>
      <c r="C15" s="81"/>
      <c r="D15" s="88"/>
      <c r="E15" s="88"/>
      <c r="F15" s="82"/>
      <c r="G15" s="83"/>
      <c r="H15" s="83"/>
      <c r="I15" s="83"/>
      <c r="J15" s="164" t="str">
        <f>IF(ISBLANK(B15),"",IF(K15&lt;Rec!$E$2,"Y","N"))</f>
        <v/>
      </c>
      <c r="M15" s="147">
        <f>COUNTIF($J$7:J15,"Y")</f>
        <v>0</v>
      </c>
    </row>
    <row r="16" spans="1:14" ht="12.75" customHeight="1" x14ac:dyDescent="0.2">
      <c r="A16" s="147" t="str">
        <f t="shared" si="0"/>
        <v/>
      </c>
      <c r="B16" s="80"/>
      <c r="C16" s="81"/>
      <c r="D16" s="84"/>
      <c r="E16" s="85"/>
      <c r="F16" s="82"/>
      <c r="G16" s="83"/>
      <c r="H16" s="83"/>
      <c r="I16" s="83"/>
      <c r="J16" s="164" t="str">
        <f>IF(ISBLANK(B16),"",IF(K16&lt;Rec!$E$2,"Y","N"))</f>
        <v/>
      </c>
      <c r="M16" s="147">
        <f>COUNTIF($J$7:J16,"Y")</f>
        <v>0</v>
      </c>
    </row>
    <row r="17" spans="1:13" ht="12.75" customHeight="1" x14ac:dyDescent="0.2">
      <c r="A17" s="147" t="str">
        <f t="shared" si="0"/>
        <v/>
      </c>
      <c r="B17" s="80"/>
      <c r="C17" s="81"/>
      <c r="D17" s="88"/>
      <c r="E17" s="88"/>
      <c r="F17" s="88"/>
      <c r="G17" s="88"/>
      <c r="H17" s="88"/>
      <c r="I17" s="83"/>
      <c r="J17" s="164" t="str">
        <f>IF(ISBLANK(B17),"",IF(K17&lt;Rec!$E$2,"Y","N"))</f>
        <v/>
      </c>
      <c r="M17" s="147">
        <f>COUNTIF($J$7:J17,"Y")</f>
        <v>0</v>
      </c>
    </row>
    <row r="18" spans="1:13" ht="12.75" customHeight="1" x14ac:dyDescent="0.2">
      <c r="A18" s="147" t="str">
        <f t="shared" si="0"/>
        <v/>
      </c>
      <c r="B18" s="87"/>
      <c r="C18" s="81"/>
      <c r="D18" s="84"/>
      <c r="E18" s="85"/>
      <c r="F18" s="89"/>
      <c r="G18" s="83"/>
      <c r="H18" s="83"/>
      <c r="I18" s="83"/>
      <c r="J18" s="164" t="str">
        <f>IF(ISBLANK(B18),"",IF(K18&lt;Rec!$E$2,"Y","N"))</f>
        <v/>
      </c>
      <c r="M18" s="147">
        <f>COUNTIF($J$7:J18,"Y")</f>
        <v>0</v>
      </c>
    </row>
    <row r="19" spans="1:13" ht="12.75" customHeight="1" x14ac:dyDescent="0.2">
      <c r="A19" s="147" t="str">
        <f t="shared" si="0"/>
        <v/>
      </c>
      <c r="B19" s="80"/>
      <c r="C19" s="81"/>
      <c r="D19" s="84"/>
      <c r="E19" s="85"/>
      <c r="F19" s="82"/>
      <c r="G19" s="83"/>
      <c r="H19" s="83"/>
      <c r="I19" s="83"/>
      <c r="J19" s="164" t="str">
        <f>IF(ISBLANK(B19),"",IF(K19&lt;Rec!$E$2,"Y","N"))</f>
        <v/>
      </c>
      <c r="M19" s="147">
        <f>COUNTIF($J$7:J19,"Y")</f>
        <v>0</v>
      </c>
    </row>
    <row r="20" spans="1:13" ht="12.75" customHeight="1" x14ac:dyDescent="0.2">
      <c r="A20" s="147" t="str">
        <f t="shared" si="0"/>
        <v/>
      </c>
      <c r="B20" s="80"/>
      <c r="C20" s="81"/>
      <c r="D20" s="84"/>
      <c r="E20" s="85"/>
      <c r="F20" s="82"/>
      <c r="G20" s="83"/>
      <c r="H20" s="83"/>
      <c r="I20" s="83"/>
      <c r="J20" s="164" t="str">
        <f>IF(ISBLANK(B20),"",IF(K20&lt;Rec!$E$2,"Y","N"))</f>
        <v/>
      </c>
      <c r="M20" s="147">
        <f>COUNTIF($J$7:J20,"Y")</f>
        <v>0</v>
      </c>
    </row>
    <row r="21" spans="1:13" ht="12.75" x14ac:dyDescent="0.2">
      <c r="A21" s="147" t="str">
        <f t="shared" si="0"/>
        <v/>
      </c>
      <c r="B21" s="80"/>
      <c r="C21" s="90"/>
      <c r="D21" s="84"/>
      <c r="E21" s="85"/>
      <c r="F21" s="82"/>
      <c r="G21" s="83"/>
      <c r="H21" s="83"/>
      <c r="I21" s="83"/>
      <c r="J21" s="164" t="str">
        <f>IF(ISBLANK(B21),"",IF(K21&lt;Rec!$E$2,"Y","N"))</f>
        <v/>
      </c>
      <c r="M21" s="147">
        <f>COUNTIF($J$7:J21,"Y")</f>
        <v>0</v>
      </c>
    </row>
    <row r="22" spans="1:13" ht="12.75" x14ac:dyDescent="0.2">
      <c r="B22" s="87" t="s">
        <v>9</v>
      </c>
      <c r="C22" s="90"/>
      <c r="D22" s="92">
        <f>SUM(D8:D21)</f>
        <v>5067.82</v>
      </c>
      <c r="E22" s="92">
        <f t="shared" ref="E22:H22" si="1">SUM(E8:E21)</f>
        <v>0</v>
      </c>
      <c r="F22" s="92">
        <f t="shared" si="1"/>
        <v>0</v>
      </c>
      <c r="G22" s="92">
        <f t="shared" si="1"/>
        <v>4173</v>
      </c>
      <c r="H22" s="92">
        <f t="shared" si="1"/>
        <v>776</v>
      </c>
      <c r="I22" s="92"/>
      <c r="J22" s="151"/>
    </row>
    <row r="23" spans="1:13" ht="12.75" x14ac:dyDescent="0.2">
      <c r="B23" s="80"/>
      <c r="C23" s="90"/>
      <c r="D23" s="93"/>
      <c r="E23" s="93"/>
      <c r="F23" s="94"/>
      <c r="G23" s="95"/>
      <c r="H23" s="95"/>
      <c r="I23" s="95"/>
      <c r="J23" s="152"/>
    </row>
    <row r="24" spans="1:13" ht="12.75" customHeight="1" x14ac:dyDescent="0.2">
      <c r="B24" s="87"/>
      <c r="C24" s="90"/>
      <c r="D24" s="96"/>
      <c r="E24" s="96"/>
      <c r="F24" s="97"/>
      <c r="G24" s="90"/>
      <c r="H24" s="90"/>
      <c r="I24" s="90"/>
      <c r="J24" s="153"/>
    </row>
    <row r="25" spans="1:13" ht="12.75" x14ac:dyDescent="0.2">
      <c r="B25" s="80" t="s">
        <v>8</v>
      </c>
      <c r="C25" s="90"/>
      <c r="D25" s="96"/>
      <c r="E25" s="98"/>
      <c r="F25" s="99"/>
      <c r="G25" s="90"/>
      <c r="H25" s="90"/>
      <c r="I25" s="90"/>
      <c r="J25" s="153"/>
    </row>
    <row r="26" spans="1:13" s="103" customFormat="1" ht="12.75" x14ac:dyDescent="0.2">
      <c r="A26" s="150"/>
      <c r="B26" s="91"/>
      <c r="C26" s="100"/>
      <c r="D26" s="101"/>
      <c r="E26" s="101"/>
      <c r="F26" s="97"/>
      <c r="G26" s="102"/>
      <c r="H26" s="102"/>
      <c r="I26" s="102"/>
      <c r="J26" s="154"/>
      <c r="M26" s="150"/>
    </row>
    <row r="27" spans="1:13" ht="12.75" customHeight="1" x14ac:dyDescent="0.2">
      <c r="B27" s="72"/>
      <c r="D27" s="69"/>
      <c r="F27" s="71"/>
    </row>
    <row r="28" spans="1:13" ht="12.75" customHeight="1" x14ac:dyDescent="0.2">
      <c r="B28" s="72"/>
      <c r="D28" s="69"/>
      <c r="F28" s="71"/>
    </row>
    <row r="29" spans="1:13" ht="12.75" customHeight="1" x14ac:dyDescent="0.2">
      <c r="B29" s="72"/>
      <c r="D29" s="69"/>
      <c r="F29" s="71"/>
    </row>
    <row r="30" spans="1:13" ht="12.75" customHeight="1" x14ac:dyDescent="0.2">
      <c r="B30" s="72"/>
      <c r="D30" s="69"/>
      <c r="F30" s="71"/>
    </row>
    <row r="31" spans="1:13" ht="12.75" customHeight="1" x14ac:dyDescent="0.2">
      <c r="B31" s="72"/>
      <c r="D31" s="69"/>
      <c r="F31" s="71"/>
    </row>
    <row r="32" spans="1:13" ht="12.75" customHeight="1" x14ac:dyDescent="0.2">
      <c r="B32" s="72"/>
      <c r="D32" s="69"/>
      <c r="F32" s="71"/>
    </row>
    <row r="33" spans="2:6" ht="12.75" customHeight="1" x14ac:dyDescent="0.2">
      <c r="B33" s="72"/>
      <c r="D33" s="69"/>
      <c r="F33" s="71"/>
    </row>
    <row r="34" spans="2:6" ht="12.75" customHeight="1" x14ac:dyDescent="0.2">
      <c r="B34" s="72"/>
      <c r="D34" s="69"/>
      <c r="F34" s="71"/>
    </row>
    <row r="35" spans="2:6" ht="12.75" customHeight="1" x14ac:dyDescent="0.2">
      <c r="B35" s="72"/>
      <c r="D35" s="69"/>
      <c r="F35" s="71"/>
    </row>
    <row r="36" spans="2:6" ht="12.75" customHeight="1" x14ac:dyDescent="0.2">
      <c r="B36" s="72"/>
      <c r="D36" s="69"/>
      <c r="F36" s="71"/>
    </row>
    <row r="37" spans="2:6" ht="12.75" customHeight="1" x14ac:dyDescent="0.2">
      <c r="B37" s="72"/>
      <c r="D37" s="69"/>
      <c r="F37" s="71"/>
    </row>
    <row r="38" spans="2:6" ht="12.75" customHeight="1" x14ac:dyDescent="0.2">
      <c r="B38" s="72"/>
      <c r="D38" s="69"/>
      <c r="F38" s="71"/>
    </row>
    <row r="39" spans="2:6" ht="12.75" customHeight="1" x14ac:dyDescent="0.2">
      <c r="B39" s="72"/>
      <c r="D39" s="69"/>
      <c r="F39" s="71"/>
    </row>
    <row r="40" spans="2:6" ht="12.75" customHeight="1" x14ac:dyDescent="0.2">
      <c r="B40" s="72"/>
      <c r="D40" s="69"/>
      <c r="F40" s="71"/>
    </row>
    <row r="41" spans="2:6" ht="12.75" customHeight="1" x14ac:dyDescent="0.2">
      <c r="B41" s="72"/>
      <c r="D41" s="69"/>
      <c r="F41" s="71"/>
    </row>
    <row r="42" spans="2:6" ht="12.75" customHeight="1" x14ac:dyDescent="0.2">
      <c r="B42" s="72"/>
      <c r="D42" s="69"/>
      <c r="F42" s="71"/>
    </row>
    <row r="43" spans="2:6" ht="12.75" customHeight="1" x14ac:dyDescent="0.2">
      <c r="B43" s="72"/>
      <c r="D43" s="69"/>
      <c r="F43" s="71"/>
    </row>
    <row r="44" spans="2:6" ht="12.75" customHeight="1" x14ac:dyDescent="0.2">
      <c r="B44" s="72"/>
      <c r="D44" s="69"/>
      <c r="F44" s="71"/>
    </row>
    <row r="45" spans="2:6" ht="12.75" customHeight="1" x14ac:dyDescent="0.2">
      <c r="B45" s="72"/>
      <c r="D45" s="69"/>
      <c r="F45" s="71"/>
    </row>
    <row r="46" spans="2:6" ht="12.75" customHeight="1" x14ac:dyDescent="0.2">
      <c r="B46" s="72"/>
      <c r="D46" s="69"/>
      <c r="F46" s="71"/>
    </row>
    <row r="47" spans="2:6" ht="12.75" customHeight="1" x14ac:dyDescent="0.2">
      <c r="B47" s="72"/>
      <c r="D47" s="69"/>
      <c r="F47" s="71"/>
    </row>
    <row r="48" spans="2:6" ht="12.75" customHeight="1" x14ac:dyDescent="0.2">
      <c r="B48" s="72"/>
      <c r="D48" s="69"/>
      <c r="F48" s="71"/>
    </row>
    <row r="49" spans="2:6" ht="12.75" customHeight="1" x14ac:dyDescent="0.2">
      <c r="B49" s="72"/>
      <c r="D49" s="69"/>
      <c r="F49" s="71"/>
    </row>
    <row r="50" spans="2:6" ht="12.75" customHeight="1" x14ac:dyDescent="0.2">
      <c r="B50" s="72"/>
      <c r="D50" s="69"/>
      <c r="F50" s="71"/>
    </row>
    <row r="51" spans="2:6" ht="12.75" customHeight="1" x14ac:dyDescent="0.2">
      <c r="B51" s="72"/>
      <c r="D51" s="69"/>
      <c r="F51" s="71"/>
    </row>
    <row r="52" spans="2:6" ht="12.75" customHeight="1" x14ac:dyDescent="0.2">
      <c r="B52" s="72"/>
      <c r="D52" s="69"/>
      <c r="F52" s="71"/>
    </row>
    <row r="53" spans="2:6" ht="12.75" customHeight="1" x14ac:dyDescent="0.2">
      <c r="B53" s="72"/>
      <c r="D53" s="69"/>
      <c r="F53" s="71"/>
    </row>
    <row r="54" spans="2:6" ht="12.75" customHeight="1" x14ac:dyDescent="0.2">
      <c r="B54" s="72"/>
      <c r="D54" s="69"/>
      <c r="F54" s="71"/>
    </row>
    <row r="55" spans="2:6" ht="12.75" customHeight="1" x14ac:dyDescent="0.2">
      <c r="B55" s="72"/>
      <c r="D55" s="69"/>
      <c r="F55" s="71"/>
    </row>
    <row r="56" spans="2:6" ht="12.75" customHeight="1" x14ac:dyDescent="0.2">
      <c r="B56" s="72"/>
      <c r="D56" s="69"/>
      <c r="F56" s="71"/>
    </row>
    <row r="57" spans="2:6" ht="12.75" customHeight="1" x14ac:dyDescent="0.2">
      <c r="B57" s="72"/>
      <c r="D57" s="69"/>
      <c r="F57" s="71"/>
    </row>
    <row r="58" spans="2:6" ht="12.75" customHeight="1" x14ac:dyDescent="0.2">
      <c r="B58" s="72"/>
      <c r="D58" s="69"/>
      <c r="F58" s="71"/>
    </row>
    <row r="59" spans="2:6" ht="12.75" customHeight="1" x14ac:dyDescent="0.2">
      <c r="B59" s="72"/>
      <c r="D59" s="69"/>
      <c r="F59" s="71"/>
    </row>
    <row r="60" spans="2:6" ht="12.75" customHeight="1" x14ac:dyDescent="0.2">
      <c r="B60" s="72"/>
      <c r="D60" s="69"/>
      <c r="F60" s="71"/>
    </row>
    <row r="61" spans="2:6" ht="12.75" customHeight="1" x14ac:dyDescent="0.2">
      <c r="B61" s="72"/>
      <c r="D61" s="69"/>
      <c r="F61" s="71"/>
    </row>
    <row r="62" spans="2:6" ht="12.75" customHeight="1" x14ac:dyDescent="0.2">
      <c r="B62" s="72"/>
      <c r="D62" s="69"/>
      <c r="F62" s="71"/>
    </row>
    <row r="63" spans="2:6" ht="12.75" customHeight="1" x14ac:dyDescent="0.2">
      <c r="B63" s="72"/>
      <c r="D63" s="69"/>
      <c r="F63" s="71"/>
    </row>
    <row r="64" spans="2:6" ht="12.75" customHeight="1" x14ac:dyDescent="0.2">
      <c r="B64" s="72"/>
      <c r="D64" s="69"/>
      <c r="F64" s="71"/>
    </row>
    <row r="65" spans="2:6" ht="12.75" customHeight="1" x14ac:dyDescent="0.2">
      <c r="B65" s="72"/>
      <c r="D65" s="69"/>
      <c r="F65" s="71"/>
    </row>
    <row r="66" spans="2:6" ht="12.75" customHeight="1" x14ac:dyDescent="0.2">
      <c r="B66" s="72"/>
      <c r="D66" s="69"/>
      <c r="F66" s="71"/>
    </row>
    <row r="67" spans="2:6" ht="12.75" customHeight="1" x14ac:dyDescent="0.2">
      <c r="B67" s="72"/>
      <c r="D67" s="69"/>
      <c r="F67" s="71"/>
    </row>
    <row r="68" spans="2:6" ht="12.75" customHeight="1" x14ac:dyDescent="0.2">
      <c r="B68" s="72"/>
      <c r="D68" s="69"/>
      <c r="F68" s="71"/>
    </row>
    <row r="69" spans="2:6" ht="12.75" customHeight="1" x14ac:dyDescent="0.2">
      <c r="B69" s="72"/>
      <c r="D69" s="69"/>
      <c r="F69" s="71"/>
    </row>
    <row r="70" spans="2:6" ht="12.75" customHeight="1" x14ac:dyDescent="0.2">
      <c r="B70" s="72"/>
      <c r="D70" s="69"/>
      <c r="F70" s="71"/>
    </row>
    <row r="71" spans="2:6" ht="12.75" customHeight="1" x14ac:dyDescent="0.2">
      <c r="B71" s="72"/>
      <c r="D71" s="69"/>
      <c r="F71" s="71"/>
    </row>
    <row r="72" spans="2:6" ht="12.75" customHeight="1" x14ac:dyDescent="0.2">
      <c r="B72" s="72"/>
      <c r="D72" s="69"/>
      <c r="F72" s="71"/>
    </row>
    <row r="73" spans="2:6" ht="12.75" customHeight="1" x14ac:dyDescent="0.2">
      <c r="B73" s="72"/>
      <c r="D73" s="69"/>
      <c r="F73" s="71"/>
    </row>
    <row r="74" spans="2:6" ht="12.75" customHeight="1" x14ac:dyDescent="0.2">
      <c r="B74" s="72"/>
      <c r="D74" s="69"/>
      <c r="F74" s="71"/>
    </row>
    <row r="75" spans="2:6" ht="12.75" customHeight="1" x14ac:dyDescent="0.2">
      <c r="B75" s="72"/>
      <c r="D75" s="69"/>
      <c r="F75" s="71"/>
    </row>
  </sheetData>
  <sheetProtection selectLockedCells="1" selectUnlockedCells="1"/>
  <mergeCells count="2">
    <mergeCell ref="B1:C1"/>
    <mergeCell ref="B3:C3"/>
  </mergeCells>
  <pageMargins left="0.7" right="0.7" top="0.75" bottom="0.75" header="0.3" footer="0.3"/>
  <pageSetup paperSize="9" scale="76" firstPageNumber="0" orientation="landscape" horizontalDpi="360" verticalDpi="360" r:id="rId1"/>
  <headerFooter alignWithMargins="0">
    <oddHeader>&amp;C&amp;A</oddHeader>
    <oddFooter>&amp;CPage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05"/>
  <sheetViews>
    <sheetView zoomScale="75" zoomScaleNormal="75" workbookViewId="0">
      <pane xSplit="6" ySplit="7" topLeftCell="G28" activePane="bottomRight" state="frozen"/>
      <selection pane="topRight" activeCell="F1" sqref="F1"/>
      <selection pane="bottomLeft" activeCell="A41" sqref="A41"/>
      <selection pane="bottomRight" activeCell="J50" sqref="J50"/>
    </sheetView>
  </sheetViews>
  <sheetFormatPr defaultColWidth="11.5703125" defaultRowHeight="12.95" customHeight="1" x14ac:dyDescent="0.2"/>
  <cols>
    <col min="1" max="1" width="4.7109375" style="148" customWidth="1"/>
    <col min="2" max="2" width="12.85546875" style="6" customWidth="1"/>
    <col min="3" max="3" width="18.28515625" style="1" customWidth="1"/>
    <col min="4" max="4" width="12.85546875" style="1" customWidth="1"/>
    <col min="5" max="5" width="28.140625" style="1" customWidth="1"/>
    <col min="6" max="7" width="12.28515625" style="7" customWidth="1"/>
    <col min="8" max="8" width="12.28515625" style="8" customWidth="1"/>
    <col min="9" max="9" width="12.7109375" style="8" customWidth="1"/>
    <col min="10" max="10" width="11.7109375" style="8" customWidth="1"/>
    <col min="11" max="12" width="12.28515625" style="8" customWidth="1"/>
    <col min="13" max="14" width="13.140625" style="8" customWidth="1"/>
    <col min="16" max="16" width="7.42578125" customWidth="1"/>
    <col min="17" max="17" width="14.28515625" style="144" customWidth="1"/>
    <col min="18" max="18" width="14.28515625" style="38" customWidth="1"/>
    <col min="19" max="19" width="12.85546875" style="148" customWidth="1"/>
    <col min="20" max="20" width="12.85546875" customWidth="1"/>
  </cols>
  <sheetData>
    <row r="1" spans="1:29" ht="15.6" customHeight="1" x14ac:dyDescent="0.25">
      <c r="B1" s="175" t="s">
        <v>0</v>
      </c>
      <c r="C1" s="175"/>
      <c r="D1" s="175"/>
      <c r="E1" s="175"/>
      <c r="F1" s="175"/>
      <c r="G1" s="176" t="s">
        <v>58</v>
      </c>
      <c r="H1" s="176"/>
      <c r="I1" s="176"/>
      <c r="O1" s="2"/>
      <c r="P1" s="2"/>
      <c r="Q1" s="139"/>
      <c r="R1" s="70" t="s">
        <v>72</v>
      </c>
      <c r="S1" s="145"/>
    </row>
    <row r="2" spans="1:29" ht="12.75" x14ac:dyDescent="0.2">
      <c r="B2" s="9"/>
      <c r="O2" s="2"/>
      <c r="P2" s="2"/>
      <c r="Q2" s="139"/>
      <c r="R2" s="70"/>
      <c r="S2" s="145"/>
    </row>
    <row r="3" spans="1:29" ht="12.75" customHeight="1" x14ac:dyDescent="0.2">
      <c r="B3" s="173" t="s">
        <v>8</v>
      </c>
      <c r="C3" s="173"/>
      <c r="D3" s="173"/>
      <c r="O3" s="2"/>
      <c r="P3" s="2"/>
      <c r="Q3" s="139"/>
      <c r="R3" s="70"/>
      <c r="S3" s="145"/>
    </row>
    <row r="4" spans="1:29" ht="12.75" x14ac:dyDescent="0.2">
      <c r="B4" s="9"/>
      <c r="O4" s="2"/>
      <c r="P4" s="2"/>
      <c r="Q4" s="139"/>
      <c r="R4" s="70"/>
      <c r="S4" s="145"/>
    </row>
    <row r="5" spans="1:29" ht="13.35" customHeight="1" x14ac:dyDescent="0.2">
      <c r="B5" s="10" t="s">
        <v>10</v>
      </c>
      <c r="I5" s="11" t="s">
        <v>11</v>
      </c>
      <c r="O5" s="2"/>
      <c r="Q5" s="140"/>
      <c r="R5" s="70"/>
      <c r="S5" s="145"/>
    </row>
    <row r="6" spans="1:29" ht="12.75" x14ac:dyDescent="0.2">
      <c r="B6" s="9"/>
      <c r="O6" s="2"/>
      <c r="P6" s="2"/>
      <c r="Q6" s="139"/>
      <c r="R6" s="70"/>
      <c r="S6" s="145"/>
    </row>
    <row r="7" spans="1:29" s="18" customFormat="1" ht="38.25" x14ac:dyDescent="0.2">
      <c r="A7" s="149" t="s">
        <v>73</v>
      </c>
      <c r="B7" s="12" t="s">
        <v>61</v>
      </c>
      <c r="C7" s="13" t="s">
        <v>3</v>
      </c>
      <c r="D7" s="14" t="s">
        <v>12</v>
      </c>
      <c r="E7" s="13" t="s">
        <v>13</v>
      </c>
      <c r="F7" s="15" t="s">
        <v>4</v>
      </c>
      <c r="G7" s="15" t="s">
        <v>5</v>
      </c>
      <c r="H7" s="16" t="s">
        <v>14</v>
      </c>
      <c r="I7" s="16" t="s">
        <v>2</v>
      </c>
      <c r="J7" s="16" t="s">
        <v>15</v>
      </c>
      <c r="K7" s="25"/>
      <c r="L7" s="16" t="s">
        <v>16</v>
      </c>
      <c r="M7" s="16" t="s">
        <v>7</v>
      </c>
      <c r="N7" s="16" t="s">
        <v>17</v>
      </c>
      <c r="O7" s="17" t="s">
        <v>18</v>
      </c>
      <c r="P7" s="17"/>
      <c r="Q7" s="141" t="s">
        <v>67</v>
      </c>
      <c r="R7" s="138" t="s">
        <v>60</v>
      </c>
      <c r="S7" s="146" t="s">
        <v>69</v>
      </c>
    </row>
    <row r="8" spans="1:29" s="18" customFormat="1" ht="12.75" x14ac:dyDescent="0.2">
      <c r="A8" s="149"/>
      <c r="B8" s="160" t="s">
        <v>76</v>
      </c>
      <c r="C8" s="159" t="s">
        <v>77</v>
      </c>
      <c r="D8" s="105" t="s">
        <v>78</v>
      </c>
      <c r="E8" s="159" t="s">
        <v>20</v>
      </c>
      <c r="F8" s="161">
        <v>58.2</v>
      </c>
      <c r="G8" s="157"/>
      <c r="H8" s="158"/>
      <c r="I8" s="170" t="s">
        <v>45</v>
      </c>
      <c r="J8" s="169" t="s">
        <v>98</v>
      </c>
      <c r="K8" s="25"/>
      <c r="L8" s="169">
        <v>58.2</v>
      </c>
      <c r="M8" s="16"/>
      <c r="N8" s="16"/>
      <c r="O8" s="17"/>
      <c r="P8" s="17"/>
      <c r="Q8" s="142" t="str">
        <f>IF(ISBLANK(B8),"",IF(R8&lt;Rec!$E$2,"Y","N"))</f>
        <v>N</v>
      </c>
      <c r="R8" s="165" t="s">
        <v>92</v>
      </c>
      <c r="S8" s="146"/>
    </row>
    <row r="9" spans="1:29" ht="12.75" customHeight="1" x14ac:dyDescent="0.2">
      <c r="A9" s="148" t="str">
        <f>IF(Q9="Y",Q9&amp;S9,"")</f>
        <v/>
      </c>
      <c r="B9" s="26" t="s">
        <v>45</v>
      </c>
      <c r="C9" s="19" t="s">
        <v>40</v>
      </c>
      <c r="D9" s="105" t="s">
        <v>47</v>
      </c>
      <c r="E9" s="19" t="s">
        <v>46</v>
      </c>
      <c r="F9" s="53">
        <v>57.25</v>
      </c>
      <c r="G9" s="58"/>
      <c r="H9" s="59"/>
      <c r="I9" s="55" t="s">
        <v>45</v>
      </c>
      <c r="J9" s="24" t="s">
        <v>98</v>
      </c>
      <c r="K9" s="22"/>
      <c r="L9" s="23"/>
      <c r="M9" s="23">
        <v>57.25</v>
      </c>
      <c r="N9" s="23"/>
      <c r="O9" s="23"/>
      <c r="P9" s="23"/>
      <c r="Q9" s="142" t="str">
        <f>IF(ISBLANK(B9),"",IF(R9&lt;Rec!$E$2,"Y","N"))</f>
        <v>N</v>
      </c>
      <c r="R9" s="155" t="s">
        <v>93</v>
      </c>
      <c r="S9" s="147">
        <f>COUNTIF(Q$7:Q9,"Y")</f>
        <v>0</v>
      </c>
    </row>
    <row r="10" spans="1:29" ht="12.75" customHeight="1" x14ac:dyDescent="0.2">
      <c r="A10" s="148" t="str">
        <f t="shared" ref="A10:A62" si="0">IF(Q10="Y",Q10&amp;S10,"")</f>
        <v/>
      </c>
      <c r="B10" s="26" t="s">
        <v>45</v>
      </c>
      <c r="C10" s="19" t="s">
        <v>48</v>
      </c>
      <c r="D10" s="105" t="s">
        <v>53</v>
      </c>
      <c r="E10" s="19" t="s">
        <v>184</v>
      </c>
      <c r="F10" s="54">
        <v>170.49</v>
      </c>
      <c r="G10" s="58"/>
      <c r="H10" s="59"/>
      <c r="I10" s="55" t="s">
        <v>45</v>
      </c>
      <c r="J10" s="24" t="s">
        <v>98</v>
      </c>
      <c r="K10" s="22"/>
      <c r="L10" s="23">
        <v>170.49</v>
      </c>
      <c r="M10" s="23"/>
      <c r="N10" s="23"/>
      <c r="O10" s="23"/>
      <c r="P10" s="23"/>
      <c r="Q10" s="142" t="str">
        <f>IF(ISBLANK(B10),"",IF(R10&lt;Rec!$E$2,"Y","N"))</f>
        <v>N</v>
      </c>
      <c r="R10" s="155" t="s">
        <v>94</v>
      </c>
      <c r="S10" s="147">
        <f>COUNTIF(Q$7:Q10,"Y")</f>
        <v>0</v>
      </c>
    </row>
    <row r="11" spans="1:29" ht="12.75" customHeight="1" x14ac:dyDescent="0.2">
      <c r="A11" s="148" t="str">
        <f t="shared" si="0"/>
        <v/>
      </c>
      <c r="B11" s="26" t="s">
        <v>45</v>
      </c>
      <c r="C11" s="19" t="s">
        <v>49</v>
      </c>
      <c r="D11" s="105" t="s">
        <v>54</v>
      </c>
      <c r="E11" s="19" t="s">
        <v>50</v>
      </c>
      <c r="F11" s="54">
        <v>30</v>
      </c>
      <c r="G11" s="58"/>
      <c r="H11" s="60"/>
      <c r="I11" s="55" t="s">
        <v>45</v>
      </c>
      <c r="J11" s="24" t="s">
        <v>98</v>
      </c>
      <c r="K11" s="22"/>
      <c r="L11" s="23"/>
      <c r="M11" s="23"/>
      <c r="N11" s="23">
        <v>30</v>
      </c>
      <c r="O11" s="23"/>
      <c r="P11" s="23"/>
      <c r="Q11" s="142" t="str">
        <f>IF(ISBLANK(B11),"",IF(R11&lt;Rec!$E$2,"Y","N"))</f>
        <v>N</v>
      </c>
      <c r="R11" s="155" t="s">
        <v>74</v>
      </c>
      <c r="S11" s="147">
        <f>COUNTIF(Q$7:Q11,"Y")</f>
        <v>0</v>
      </c>
    </row>
    <row r="12" spans="1:29" ht="12.75" x14ac:dyDescent="0.2">
      <c r="A12" s="148" t="str">
        <f t="shared" si="0"/>
        <v/>
      </c>
      <c r="B12" s="26" t="s">
        <v>45</v>
      </c>
      <c r="C12" s="19" t="s">
        <v>51</v>
      </c>
      <c r="D12" s="105" t="s">
        <v>55</v>
      </c>
      <c r="E12" s="19" t="s">
        <v>52</v>
      </c>
      <c r="F12" s="53">
        <v>10</v>
      </c>
      <c r="G12" s="58"/>
      <c r="H12" s="60"/>
      <c r="I12" s="55" t="s">
        <v>45</v>
      </c>
      <c r="J12" s="24" t="s">
        <v>98</v>
      </c>
      <c r="K12" s="22"/>
      <c r="L12" s="23"/>
      <c r="M12" s="23">
        <v>10</v>
      </c>
      <c r="N12" s="23"/>
      <c r="O12" s="23"/>
      <c r="P12" s="23"/>
      <c r="Q12" s="142" t="str">
        <f>IF(ISBLANK(B12),"",IF(R12&lt;Rec!$E$2,"Y","N"))</f>
        <v>N</v>
      </c>
      <c r="R12" s="155" t="s">
        <v>95</v>
      </c>
      <c r="S12" s="147">
        <f>COUNTIF(Q$7:Q12,"Y")</f>
        <v>0</v>
      </c>
    </row>
    <row r="13" spans="1:29" ht="12.75" x14ac:dyDescent="0.2">
      <c r="A13" s="148" t="str">
        <f t="shared" si="0"/>
        <v/>
      </c>
      <c r="B13" s="26" t="s">
        <v>82</v>
      </c>
      <c r="C13" s="19" t="s">
        <v>83</v>
      </c>
      <c r="D13" s="105" t="s">
        <v>86</v>
      </c>
      <c r="E13" s="19" t="s">
        <v>84</v>
      </c>
      <c r="F13" s="53">
        <v>73.5</v>
      </c>
      <c r="G13" s="58"/>
      <c r="H13" s="60"/>
      <c r="I13" s="55" t="s">
        <v>45</v>
      </c>
      <c r="J13" s="24" t="s">
        <v>98</v>
      </c>
      <c r="K13" s="22"/>
      <c r="L13" s="23"/>
      <c r="M13" s="23">
        <v>73.5</v>
      </c>
      <c r="N13" s="23"/>
      <c r="O13" s="3"/>
      <c r="P13" s="22"/>
      <c r="Q13" s="142" t="str">
        <f>IF(ISBLANK(B13),"",IF(R13&lt;Rec!$E$2,"Y","N"))</f>
        <v>N</v>
      </c>
      <c r="R13" s="155" t="s">
        <v>105</v>
      </c>
      <c r="S13" s="147">
        <f>COUNTIF(Q$7:Q13,"Y")</f>
        <v>0</v>
      </c>
    </row>
    <row r="14" spans="1:29" ht="12.75" x14ac:dyDescent="0.2">
      <c r="A14" s="148" t="str">
        <f t="shared" si="0"/>
        <v/>
      </c>
      <c r="B14" s="162" t="s">
        <v>82</v>
      </c>
      <c r="C14" s="61" t="s">
        <v>85</v>
      </c>
      <c r="D14" s="105" t="s">
        <v>79</v>
      </c>
      <c r="E14" s="62" t="s">
        <v>87</v>
      </c>
      <c r="F14" s="63">
        <v>124.59</v>
      </c>
      <c r="G14" s="64"/>
      <c r="H14" s="60"/>
      <c r="I14" s="55" t="s">
        <v>82</v>
      </c>
      <c r="J14" s="24" t="s">
        <v>99</v>
      </c>
      <c r="K14" s="22"/>
      <c r="L14" s="23"/>
      <c r="M14" s="8">
        <v>124.59</v>
      </c>
      <c r="N14" s="23"/>
      <c r="O14" s="3"/>
      <c r="P14" s="23"/>
      <c r="Q14" s="142" t="str">
        <f>IF(ISBLANK(B14),"",IF(R14&lt;Rec!$E$2,"Y","N"))</f>
        <v>N</v>
      </c>
      <c r="R14" s="155" t="s">
        <v>106</v>
      </c>
      <c r="S14" s="147">
        <f>COUNTIF(Q$7:Q14,"Y")</f>
        <v>0</v>
      </c>
    </row>
    <row r="15" spans="1:29" ht="12.75" customHeight="1" x14ac:dyDescent="0.2">
      <c r="A15" s="148" t="str">
        <f t="shared" si="0"/>
        <v/>
      </c>
      <c r="B15" s="67" t="s">
        <v>82</v>
      </c>
      <c r="C15" s="68" t="s">
        <v>48</v>
      </c>
      <c r="D15" s="105" t="s">
        <v>80</v>
      </c>
      <c r="E15" s="68" t="s">
        <v>183</v>
      </c>
      <c r="F15" s="59">
        <v>168.45</v>
      </c>
      <c r="G15" s="58"/>
      <c r="H15" s="60"/>
      <c r="I15" s="55" t="s">
        <v>82</v>
      </c>
      <c r="J15" s="24" t="s">
        <v>99</v>
      </c>
      <c r="K15" s="22"/>
      <c r="L15" s="23">
        <v>168.45</v>
      </c>
      <c r="M15" s="23"/>
      <c r="N15" s="23"/>
      <c r="O15" s="3"/>
      <c r="P15" s="23"/>
      <c r="Q15" s="142" t="str">
        <f>IF(ISBLANK(B15),"",IF(R15&lt;Rec!$E$2,"Y","N"))</f>
        <v>N</v>
      </c>
      <c r="R15" s="155" t="s">
        <v>96</v>
      </c>
      <c r="S15" s="147">
        <f>COUNTIF(Q$7:Q15,"Y")</f>
        <v>0</v>
      </c>
    </row>
    <row r="16" spans="1:29" s="5" customFormat="1" ht="12.75" x14ac:dyDescent="0.2">
      <c r="A16" s="148" t="str">
        <f t="shared" si="0"/>
        <v/>
      </c>
      <c r="B16" s="65" t="s">
        <v>82</v>
      </c>
      <c r="C16" s="163" t="s">
        <v>88</v>
      </c>
      <c r="D16" s="105" t="s">
        <v>81</v>
      </c>
      <c r="E16" s="163" t="s">
        <v>89</v>
      </c>
      <c r="F16" s="66">
        <v>232.76</v>
      </c>
      <c r="G16" s="56"/>
      <c r="H16" s="57"/>
      <c r="I16" s="22" t="s">
        <v>82</v>
      </c>
      <c r="J16" s="24" t="s">
        <v>99</v>
      </c>
      <c r="K16" s="22"/>
      <c r="L16" s="23"/>
      <c r="M16" s="23">
        <v>232.76</v>
      </c>
      <c r="N16" s="23"/>
      <c r="O16" s="3"/>
      <c r="P16" s="31"/>
      <c r="Q16" s="142" t="str">
        <f>IF(ISBLANK(B16),"",IF(R16&lt;Rec!$E$2,"Y","N"))</f>
        <v>N</v>
      </c>
      <c r="R16" s="155" t="s">
        <v>97</v>
      </c>
      <c r="S16" s="147">
        <f>COUNTIF(Q$7:Q16,"Y")</f>
        <v>0</v>
      </c>
      <c r="T16" s="2"/>
      <c r="U16"/>
      <c r="V16"/>
      <c r="W16"/>
      <c r="X16"/>
      <c r="Y16"/>
      <c r="Z16"/>
      <c r="AA16"/>
      <c r="AB16"/>
      <c r="AC16" s="32"/>
    </row>
    <row r="17" spans="1:29" s="5" customFormat="1" ht="12.75" x14ac:dyDescent="0.2">
      <c r="A17" s="148" t="str">
        <f t="shared" si="0"/>
        <v/>
      </c>
      <c r="B17" s="30" t="s">
        <v>101</v>
      </c>
      <c r="C17" s="19" t="s">
        <v>77</v>
      </c>
      <c r="D17" s="105" t="s">
        <v>102</v>
      </c>
      <c r="E17" s="19" t="s">
        <v>20</v>
      </c>
      <c r="F17" s="4">
        <v>101.4</v>
      </c>
      <c r="G17" s="25"/>
      <c r="H17" s="23"/>
      <c r="I17" s="22" t="s">
        <v>101</v>
      </c>
      <c r="J17" s="24" t="s">
        <v>104</v>
      </c>
      <c r="K17" s="22"/>
      <c r="L17" s="23">
        <v>101.4</v>
      </c>
      <c r="M17" s="23"/>
      <c r="N17" s="23"/>
      <c r="O17" s="3"/>
      <c r="P17" s="31"/>
      <c r="Q17" s="142" t="str">
        <f>IF(ISBLANK(B17),"",IF(R17&lt;Rec!$E$2,"Y","N"))</f>
        <v>N</v>
      </c>
      <c r="R17" s="155" t="s">
        <v>107</v>
      </c>
      <c r="S17" s="147">
        <f>COUNTIF(Q$7:Q17,"Y")</f>
        <v>0</v>
      </c>
      <c r="T17" s="2"/>
      <c r="U17"/>
      <c r="V17"/>
      <c r="W17"/>
      <c r="X17"/>
      <c r="Y17"/>
      <c r="Z17"/>
      <c r="AA17"/>
      <c r="AB17"/>
      <c r="AC17" s="32"/>
    </row>
    <row r="18" spans="1:29" s="5" customFormat="1" ht="12.75" customHeight="1" x14ac:dyDescent="0.2">
      <c r="A18" s="148" t="str">
        <f t="shared" si="0"/>
        <v/>
      </c>
      <c r="B18" s="30" t="s">
        <v>101</v>
      </c>
      <c r="C18" s="19" t="s">
        <v>48</v>
      </c>
      <c r="D18" s="105" t="s">
        <v>103</v>
      </c>
      <c r="E18" s="19" t="s">
        <v>182</v>
      </c>
      <c r="F18" s="4">
        <v>67.05</v>
      </c>
      <c r="G18" s="25"/>
      <c r="H18" s="23"/>
      <c r="I18" s="22" t="s">
        <v>101</v>
      </c>
      <c r="J18" s="24" t="s">
        <v>104</v>
      </c>
      <c r="K18" s="22"/>
      <c r="L18" s="23">
        <v>67.05</v>
      </c>
      <c r="M18" s="23"/>
      <c r="N18" s="23"/>
      <c r="O18" s="3"/>
      <c r="P18" s="31"/>
      <c r="Q18" s="142" t="str">
        <f>IF(ISBLANK(B18),"",IF(R18&lt;Rec!$E$2,"Y","N"))</f>
        <v>N</v>
      </c>
      <c r="R18" s="155" t="s">
        <v>108</v>
      </c>
      <c r="S18" s="147">
        <f>COUNTIF(Q$7:Q18,"Y")</f>
        <v>0</v>
      </c>
      <c r="T18" s="2"/>
      <c r="U18"/>
      <c r="V18"/>
      <c r="W18"/>
      <c r="X18"/>
      <c r="Y18"/>
      <c r="Z18"/>
      <c r="AA18"/>
      <c r="AB18"/>
      <c r="AC18" s="32"/>
    </row>
    <row r="19" spans="1:29" s="5" customFormat="1" ht="12.75" x14ac:dyDescent="0.2">
      <c r="A19" s="148" t="str">
        <f t="shared" si="0"/>
        <v/>
      </c>
      <c r="B19" s="30" t="s">
        <v>109</v>
      </c>
      <c r="C19" s="19" t="s">
        <v>77</v>
      </c>
      <c r="D19" s="105" t="s">
        <v>110</v>
      </c>
      <c r="E19" s="19" t="s">
        <v>20</v>
      </c>
      <c r="F19" s="25">
        <v>33.6</v>
      </c>
      <c r="G19" s="4"/>
      <c r="H19" s="23"/>
      <c r="I19" s="22" t="s">
        <v>109</v>
      </c>
      <c r="J19" s="24" t="s">
        <v>122</v>
      </c>
      <c r="K19" s="22"/>
      <c r="L19" s="23">
        <v>33.6</v>
      </c>
      <c r="M19" s="23"/>
      <c r="N19" s="23"/>
      <c r="O19" s="23"/>
      <c r="P19" s="23"/>
      <c r="Q19" s="142" t="str">
        <f>IF(ISBLANK(B19),"",IF(R19&lt;Rec!$E$2,"Y","N"))</f>
        <v>N</v>
      </c>
      <c r="R19" s="155" t="s">
        <v>111</v>
      </c>
      <c r="S19" s="147">
        <f>COUNTIF(Q$7:Q19,"Y")</f>
        <v>0</v>
      </c>
      <c r="T19" s="2"/>
      <c r="U19"/>
      <c r="V19"/>
      <c r="W19"/>
      <c r="X19"/>
      <c r="Y19"/>
      <c r="Z19"/>
      <c r="AA19"/>
      <c r="AB19"/>
      <c r="AC19" s="32"/>
    </row>
    <row r="20" spans="1:29" s="5" customFormat="1" ht="12.75" x14ac:dyDescent="0.2">
      <c r="A20" s="148" t="str">
        <f t="shared" si="0"/>
        <v/>
      </c>
      <c r="B20" s="30" t="s">
        <v>109</v>
      </c>
      <c r="C20" s="19" t="s">
        <v>48</v>
      </c>
      <c r="D20" s="105" t="s">
        <v>112</v>
      </c>
      <c r="E20" s="19" t="s">
        <v>181</v>
      </c>
      <c r="F20" s="4">
        <v>134.85</v>
      </c>
      <c r="G20" s="25"/>
      <c r="H20" s="23"/>
      <c r="I20" s="22" t="s">
        <v>109</v>
      </c>
      <c r="J20" s="24" t="s">
        <v>122</v>
      </c>
      <c r="K20" s="22"/>
      <c r="L20" s="23">
        <v>134.85</v>
      </c>
      <c r="M20" s="23"/>
      <c r="N20" s="23"/>
      <c r="O20" s="23"/>
      <c r="P20" s="22"/>
      <c r="Q20" s="142" t="str">
        <f>IF(ISBLANK(B20),"",IF(R20&lt;Rec!$E$2,"Y","N"))</f>
        <v>N</v>
      </c>
      <c r="R20" s="155" t="s">
        <v>113</v>
      </c>
      <c r="S20" s="147">
        <f>COUNTIF(Q$7:Q20,"Y")</f>
        <v>0</v>
      </c>
      <c r="T20" s="2"/>
      <c r="U20"/>
      <c r="V20"/>
      <c r="W20"/>
      <c r="X20"/>
      <c r="Y20"/>
      <c r="Z20"/>
      <c r="AA20"/>
      <c r="AB20"/>
      <c r="AC20" s="32"/>
    </row>
    <row r="21" spans="1:29" s="5" customFormat="1" ht="12.75" x14ac:dyDescent="0.2">
      <c r="A21" s="148" t="str">
        <f t="shared" si="0"/>
        <v/>
      </c>
      <c r="B21" s="33" t="s">
        <v>109</v>
      </c>
      <c r="C21" s="19" t="s">
        <v>48</v>
      </c>
      <c r="D21" s="105" t="s">
        <v>114</v>
      </c>
      <c r="E21" s="19" t="s">
        <v>115</v>
      </c>
      <c r="F21" s="25">
        <v>38.18</v>
      </c>
      <c r="G21" s="25"/>
      <c r="H21" s="23">
        <v>5.37</v>
      </c>
      <c r="I21" s="22" t="s">
        <v>109</v>
      </c>
      <c r="J21" s="24" t="s">
        <v>122</v>
      </c>
      <c r="K21" s="22"/>
      <c r="L21" s="23"/>
      <c r="M21" s="23">
        <v>38.18</v>
      </c>
      <c r="N21" s="23"/>
      <c r="O21" s="23"/>
      <c r="P21" s="23"/>
      <c r="Q21" s="142" t="str">
        <f>IF(ISBLANK(B21),"",IF(R21&lt;Rec!$E$2,"Y","N"))</f>
        <v>N</v>
      </c>
      <c r="R21" s="155" t="s">
        <v>113</v>
      </c>
      <c r="S21" s="147">
        <f>COUNTIF(Q$7:Q21,"Y")</f>
        <v>0</v>
      </c>
      <c r="T21" s="34"/>
      <c r="U21"/>
      <c r="V21"/>
      <c r="W21"/>
      <c r="X21"/>
      <c r="Y21"/>
      <c r="Z21"/>
      <c r="AA21"/>
      <c r="AB21"/>
      <c r="AC21" s="32"/>
    </row>
    <row r="22" spans="1:29" s="5" customFormat="1" ht="12.75" customHeight="1" x14ac:dyDescent="0.2">
      <c r="A22" s="148" t="str">
        <f t="shared" si="0"/>
        <v/>
      </c>
      <c r="B22" s="30" t="s">
        <v>116</v>
      </c>
      <c r="C22" s="19" t="s">
        <v>51</v>
      </c>
      <c r="D22" s="105" t="s">
        <v>117</v>
      </c>
      <c r="E22" s="19" t="s">
        <v>118</v>
      </c>
      <c r="F22" s="25">
        <v>38.299999999999997</v>
      </c>
      <c r="G22" s="25"/>
      <c r="H22" s="23"/>
      <c r="I22" s="22" t="s">
        <v>133</v>
      </c>
      <c r="J22" s="24" t="s">
        <v>146</v>
      </c>
      <c r="K22" s="23"/>
      <c r="L22" s="23"/>
      <c r="M22" s="23">
        <v>38.299999999999997</v>
      </c>
      <c r="N22" s="23"/>
      <c r="O22" s="23">
        <f>-Summary!B537</f>
        <v>0</v>
      </c>
      <c r="P22" s="22"/>
      <c r="Q22" s="142" t="str">
        <f>IF(ISBLANK(B22),"",IF(R22&lt;Rec!$E$2,"Y","N"))</f>
        <v>N</v>
      </c>
      <c r="R22" s="155" t="s">
        <v>125</v>
      </c>
      <c r="S22" s="147">
        <f>COUNTIF(Q$7:Q22,"Y")</f>
        <v>0</v>
      </c>
      <c r="T22" s="2"/>
      <c r="U22"/>
      <c r="V22"/>
      <c r="W22"/>
      <c r="X22"/>
      <c r="Y22"/>
      <c r="Z22"/>
      <c r="AA22"/>
      <c r="AB22"/>
      <c r="AC22" s="32"/>
    </row>
    <row r="23" spans="1:29" s="5" customFormat="1" ht="12.75" customHeight="1" x14ac:dyDescent="0.2">
      <c r="A23" s="148" t="str">
        <f t="shared" si="0"/>
        <v/>
      </c>
      <c r="B23" s="30" t="s">
        <v>119</v>
      </c>
      <c r="C23" s="19" t="s">
        <v>77</v>
      </c>
      <c r="D23" s="105" t="s">
        <v>120</v>
      </c>
      <c r="E23" s="19" t="s">
        <v>20</v>
      </c>
      <c r="F23" s="25">
        <v>33.799999999999997</v>
      </c>
      <c r="G23" s="25"/>
      <c r="H23" s="23"/>
      <c r="I23" s="22" t="s">
        <v>133</v>
      </c>
      <c r="J23" s="24" t="s">
        <v>146</v>
      </c>
      <c r="K23" s="23"/>
      <c r="L23" s="23">
        <v>33.799999999999997</v>
      </c>
      <c r="M23" s="23"/>
      <c r="N23" s="23"/>
      <c r="O23" s="23"/>
      <c r="P23" s="22"/>
      <c r="Q23" s="142" t="str">
        <f>IF(ISBLANK(B23),"",IF(R23&lt;Rec!$E$2,"Y","N"))</f>
        <v>N</v>
      </c>
      <c r="R23" s="155" t="s">
        <v>125</v>
      </c>
      <c r="S23" s="147">
        <f>COUNTIF(Q$7:Q23,"Y")</f>
        <v>0</v>
      </c>
      <c r="T23" s="2"/>
      <c r="U23"/>
      <c r="V23"/>
      <c r="W23"/>
      <c r="X23"/>
      <c r="Y23"/>
      <c r="Z23"/>
      <c r="AA23"/>
      <c r="AB23"/>
      <c r="AC23" s="32"/>
    </row>
    <row r="24" spans="1:29" s="5" customFormat="1" ht="12.75" customHeight="1" x14ac:dyDescent="0.2">
      <c r="A24" s="148" t="str">
        <f t="shared" si="0"/>
        <v/>
      </c>
      <c r="B24" s="30" t="s">
        <v>119</v>
      </c>
      <c r="C24" s="19" t="s">
        <v>48</v>
      </c>
      <c r="D24" s="105" t="s">
        <v>121</v>
      </c>
      <c r="E24" s="19" t="s">
        <v>180</v>
      </c>
      <c r="F24" s="25">
        <v>134.65</v>
      </c>
      <c r="G24" s="25"/>
      <c r="H24" s="23"/>
      <c r="I24" s="22" t="s">
        <v>133</v>
      </c>
      <c r="J24" s="24" t="s">
        <v>146</v>
      </c>
      <c r="K24" s="22"/>
      <c r="L24" s="23">
        <v>134.65</v>
      </c>
      <c r="M24" s="23"/>
      <c r="N24" s="23"/>
      <c r="O24" s="23"/>
      <c r="P24" s="23"/>
      <c r="Q24" s="142" t="str">
        <f>IF(ISBLANK(B24),"",IF(R24&lt;Rec!$E$2,"Y","N"))</f>
        <v>N</v>
      </c>
      <c r="R24" s="155" t="s">
        <v>124</v>
      </c>
      <c r="S24" s="147">
        <f>COUNTIF(Q$7:Q24,"Y")</f>
        <v>0</v>
      </c>
      <c r="T24" s="2"/>
      <c r="U24"/>
      <c r="V24"/>
      <c r="W24"/>
      <c r="X24"/>
      <c r="Y24"/>
      <c r="Z24"/>
      <c r="AA24"/>
      <c r="AB24"/>
      <c r="AC24" s="32"/>
    </row>
    <row r="25" spans="1:29" s="5" customFormat="1" ht="12.75" customHeight="1" x14ac:dyDescent="0.2">
      <c r="A25" s="148" t="str">
        <f t="shared" si="0"/>
        <v/>
      </c>
      <c r="B25" s="30" t="s">
        <v>133</v>
      </c>
      <c r="C25" s="19" t="s">
        <v>77</v>
      </c>
      <c r="D25" s="105" t="s">
        <v>126</v>
      </c>
      <c r="E25" s="19" t="s">
        <v>20</v>
      </c>
      <c r="F25" s="25">
        <v>33.6</v>
      </c>
      <c r="G25" s="25"/>
      <c r="H25" s="22"/>
      <c r="I25" s="22" t="s">
        <v>133</v>
      </c>
      <c r="J25" s="24" t="s">
        <v>146</v>
      </c>
      <c r="K25" s="22"/>
      <c r="L25" s="23">
        <v>33.6</v>
      </c>
      <c r="M25" s="23"/>
      <c r="N25" s="23"/>
      <c r="O25" s="23"/>
      <c r="P25" s="23"/>
      <c r="Q25" s="142" t="str">
        <f>IF(ISBLANK(B25),"",IF(R25&lt;Rec!$E$2,"Y","N"))</f>
        <v>N</v>
      </c>
      <c r="R25" s="155" t="s">
        <v>134</v>
      </c>
      <c r="S25" s="147">
        <f>COUNTIF(Q$7:Q25,"Y")</f>
        <v>0</v>
      </c>
      <c r="T25" s="2"/>
      <c r="U25"/>
      <c r="V25"/>
      <c r="W25"/>
      <c r="X25"/>
      <c r="Y25"/>
      <c r="Z25"/>
      <c r="AA25"/>
      <c r="AB25"/>
      <c r="AC25" s="32"/>
    </row>
    <row r="26" spans="1:29" s="5" customFormat="1" ht="12.75" customHeight="1" x14ac:dyDescent="0.2">
      <c r="A26" s="148" t="str">
        <f t="shared" si="0"/>
        <v/>
      </c>
      <c r="B26" s="33" t="s">
        <v>133</v>
      </c>
      <c r="C26" s="19" t="s">
        <v>48</v>
      </c>
      <c r="D26" s="105" t="s">
        <v>127</v>
      </c>
      <c r="E26" s="19" t="s">
        <v>179</v>
      </c>
      <c r="F26" s="25">
        <v>134.85</v>
      </c>
      <c r="G26" s="25"/>
      <c r="H26" s="23"/>
      <c r="I26" s="22" t="s">
        <v>133</v>
      </c>
      <c r="J26" s="24" t="s">
        <v>146</v>
      </c>
      <c r="K26" s="22"/>
      <c r="L26" s="23">
        <v>134.85</v>
      </c>
      <c r="M26" s="23"/>
      <c r="N26" s="23"/>
      <c r="O26" s="23"/>
      <c r="P26" s="23"/>
      <c r="Q26" s="142" t="str">
        <f>IF(ISBLANK(B26),"",IF(R26&lt;Rec!$E$2,"Y","N"))</f>
        <v>N</v>
      </c>
      <c r="R26" s="155" t="s">
        <v>135</v>
      </c>
      <c r="S26" s="147">
        <f>COUNTIF(Q$7:Q26,"Y")</f>
        <v>0</v>
      </c>
      <c r="T26" s="2"/>
      <c r="U26"/>
      <c r="V26"/>
      <c r="W26"/>
      <c r="X26"/>
      <c r="Y26"/>
      <c r="Z26"/>
      <c r="AA26"/>
      <c r="AB26"/>
      <c r="AC26" s="32"/>
    </row>
    <row r="27" spans="1:29" s="5" customFormat="1" ht="12.75" customHeight="1" x14ac:dyDescent="0.2">
      <c r="A27" s="148" t="str">
        <f t="shared" si="0"/>
        <v/>
      </c>
      <c r="B27" s="30" t="s">
        <v>136</v>
      </c>
      <c r="C27" s="19" t="s">
        <v>48</v>
      </c>
      <c r="D27" s="105" t="s">
        <v>128</v>
      </c>
      <c r="E27" s="19" t="s">
        <v>178</v>
      </c>
      <c r="F27" s="25">
        <v>134.65</v>
      </c>
      <c r="G27" s="25"/>
      <c r="H27" s="23"/>
      <c r="I27" s="22" t="s">
        <v>136</v>
      </c>
      <c r="J27" s="24" t="s">
        <v>147</v>
      </c>
      <c r="K27" s="22"/>
      <c r="L27" s="23">
        <v>134.65</v>
      </c>
      <c r="M27" s="23"/>
      <c r="N27" s="23"/>
      <c r="O27" s="23"/>
      <c r="P27" s="23"/>
      <c r="Q27" s="142" t="str">
        <f>IF(ISBLANK(B27),"",IF(R27&lt;Rec!$E$2,"Y","N"))</f>
        <v>N</v>
      </c>
      <c r="R27" s="155" t="s">
        <v>141</v>
      </c>
      <c r="S27" s="147">
        <f>COUNTIF(Q$7:Q27,"Y")</f>
        <v>0</v>
      </c>
      <c r="T27" s="2"/>
      <c r="U27"/>
      <c r="V27"/>
      <c r="W27"/>
      <c r="X27"/>
      <c r="Y27"/>
      <c r="Z27"/>
      <c r="AA27"/>
      <c r="AB27"/>
      <c r="AC27" s="32"/>
    </row>
    <row r="28" spans="1:29" s="5" customFormat="1" ht="12.75" customHeight="1" x14ac:dyDescent="0.2">
      <c r="A28" s="148" t="str">
        <f t="shared" si="0"/>
        <v/>
      </c>
      <c r="B28" s="30" t="s">
        <v>136</v>
      </c>
      <c r="C28" s="19" t="s">
        <v>77</v>
      </c>
      <c r="D28" s="105" t="s">
        <v>129</v>
      </c>
      <c r="E28" s="19" t="s">
        <v>20</v>
      </c>
      <c r="F28" s="25">
        <v>33.799999999999997</v>
      </c>
      <c r="G28" s="25"/>
      <c r="H28" s="23"/>
      <c r="I28" s="22" t="s">
        <v>136</v>
      </c>
      <c r="J28" s="24" t="s">
        <v>147</v>
      </c>
      <c r="K28" s="22"/>
      <c r="L28" s="23">
        <v>33.799999999999997</v>
      </c>
      <c r="M28" s="23"/>
      <c r="N28" s="23"/>
      <c r="O28" s="23"/>
      <c r="P28" s="23"/>
      <c r="Q28" s="142" t="str">
        <f>IF(ISBLANK(B28),"",IF(R28&lt;Rec!$E$2,"Y","N"))</f>
        <v>N</v>
      </c>
      <c r="R28" s="155" t="s">
        <v>137</v>
      </c>
      <c r="S28" s="147">
        <f>COUNTIF(Q$7:Q28,"Y")</f>
        <v>0</v>
      </c>
      <c r="T28" s="2"/>
      <c r="U28"/>
      <c r="V28"/>
      <c r="W28"/>
      <c r="X28"/>
      <c r="Y28"/>
      <c r="Z28"/>
      <c r="AA28"/>
      <c r="AB28"/>
      <c r="AC28" s="32"/>
    </row>
    <row r="29" spans="1:29" s="5" customFormat="1" ht="12.75" x14ac:dyDescent="0.2">
      <c r="A29" s="148" t="str">
        <f t="shared" si="0"/>
        <v/>
      </c>
      <c r="B29" s="30" t="s">
        <v>136</v>
      </c>
      <c r="C29" s="19" t="s">
        <v>138</v>
      </c>
      <c r="D29" s="105" t="s">
        <v>130</v>
      </c>
      <c r="E29" s="19" t="s">
        <v>139</v>
      </c>
      <c r="F29" s="25">
        <v>26.37</v>
      </c>
      <c r="G29" s="25"/>
      <c r="H29" s="22"/>
      <c r="I29" s="22" t="s">
        <v>150</v>
      </c>
      <c r="J29" s="24" t="s">
        <v>176</v>
      </c>
      <c r="K29" s="22"/>
      <c r="L29" s="22"/>
      <c r="M29" s="23">
        <v>26.37</v>
      </c>
      <c r="N29" s="23"/>
      <c r="O29" s="23"/>
      <c r="P29" s="23"/>
      <c r="Q29" s="142" t="str">
        <f>IF(ISBLANK(B29),"",IF(R29&lt;Rec!$E$2,"Y","N"))</f>
        <v>N</v>
      </c>
      <c r="R29" s="155" t="s">
        <v>140</v>
      </c>
      <c r="S29" s="147">
        <f>COUNTIF(Q$7:Q29,"Y")</f>
        <v>0</v>
      </c>
      <c r="T29" s="2" t="s">
        <v>8</v>
      </c>
      <c r="U29"/>
      <c r="V29"/>
      <c r="W29"/>
      <c r="X29"/>
      <c r="Y29"/>
      <c r="Z29"/>
      <c r="AA29"/>
      <c r="AB29"/>
      <c r="AC29" s="32"/>
    </row>
    <row r="30" spans="1:29" s="5" customFormat="1" ht="12.75" x14ac:dyDescent="0.2">
      <c r="A30" s="148" t="str">
        <f t="shared" si="0"/>
        <v/>
      </c>
      <c r="B30" s="33" t="s">
        <v>141</v>
      </c>
      <c r="C30" s="19" t="s">
        <v>142</v>
      </c>
      <c r="D30" s="105" t="s">
        <v>131</v>
      </c>
      <c r="E30" s="19" t="s">
        <v>143</v>
      </c>
      <c r="F30" s="25">
        <v>336</v>
      </c>
      <c r="G30" s="25"/>
      <c r="H30" s="23">
        <v>56</v>
      </c>
      <c r="I30" s="22" t="s">
        <v>150</v>
      </c>
      <c r="J30" s="24" t="s">
        <v>176</v>
      </c>
      <c r="K30" s="22"/>
      <c r="L30" s="23"/>
      <c r="M30" s="23">
        <v>336</v>
      </c>
      <c r="N30" s="23"/>
      <c r="O30" s="23"/>
      <c r="P30" s="23"/>
      <c r="Q30" s="142" t="str">
        <f>IF(ISBLANK(B30),"",IF(R30&lt;Rec!$E$2,"Y","N"))</f>
        <v>N</v>
      </c>
      <c r="R30" s="155" t="s">
        <v>144</v>
      </c>
      <c r="S30" s="147">
        <f>COUNTIF(Q$7:Q30,"Y")</f>
        <v>0</v>
      </c>
      <c r="T30" s="34"/>
      <c r="U30"/>
      <c r="V30"/>
      <c r="W30"/>
      <c r="X30"/>
      <c r="Y30"/>
      <c r="Z30"/>
      <c r="AA30"/>
      <c r="AB30"/>
      <c r="AC30" s="32"/>
    </row>
    <row r="31" spans="1:29" s="5" customFormat="1" ht="12.75" customHeight="1" x14ac:dyDescent="0.2">
      <c r="A31" s="148" t="str">
        <f t="shared" si="0"/>
        <v/>
      </c>
      <c r="B31" s="30" t="s">
        <v>144</v>
      </c>
      <c r="C31" s="19" t="s">
        <v>145</v>
      </c>
      <c r="D31" s="105" t="s">
        <v>132</v>
      </c>
      <c r="E31" s="19" t="s">
        <v>148</v>
      </c>
      <c r="F31" s="25">
        <v>312</v>
      </c>
      <c r="G31" s="25"/>
      <c r="H31" s="23">
        <v>52</v>
      </c>
      <c r="I31" s="22" t="s">
        <v>150</v>
      </c>
      <c r="J31" s="24" t="s">
        <v>176</v>
      </c>
      <c r="K31" s="22"/>
      <c r="L31" s="23"/>
      <c r="M31" s="23">
        <v>312</v>
      </c>
      <c r="N31" s="23"/>
      <c r="O31" s="23"/>
      <c r="P31" s="23"/>
      <c r="Q31" s="142" t="str">
        <f>IF(ISBLANK(B31),"",IF(R31&lt;Rec!$E$2,"Y","N"))</f>
        <v>N</v>
      </c>
      <c r="R31" s="155" t="s">
        <v>171</v>
      </c>
      <c r="S31" s="147">
        <f>COUNTIF(Q$7:Q31,"Y")</f>
        <v>0</v>
      </c>
      <c r="T31" s="2"/>
      <c r="U31"/>
      <c r="V31"/>
      <c r="W31"/>
      <c r="X31"/>
      <c r="Y31"/>
      <c r="Z31"/>
      <c r="AA31"/>
      <c r="AB31"/>
      <c r="AC31" s="32"/>
    </row>
    <row r="32" spans="1:29" s="5" customFormat="1" ht="12.75" customHeight="1" x14ac:dyDescent="0.2">
      <c r="A32" s="148" t="str">
        <f t="shared" si="0"/>
        <v/>
      </c>
      <c r="B32" s="30" t="s">
        <v>150</v>
      </c>
      <c r="C32" s="19" t="s">
        <v>48</v>
      </c>
      <c r="D32" s="105" t="s">
        <v>149</v>
      </c>
      <c r="E32" s="19" t="s">
        <v>170</v>
      </c>
      <c r="F32" s="25">
        <v>134.85</v>
      </c>
      <c r="G32" s="21"/>
      <c r="H32" s="22"/>
      <c r="I32" s="22" t="s">
        <v>150</v>
      </c>
      <c r="J32" s="24" t="s">
        <v>176</v>
      </c>
      <c r="K32" s="22"/>
      <c r="L32" s="23">
        <v>134.85</v>
      </c>
      <c r="M32" s="23"/>
      <c r="N32" s="23"/>
      <c r="O32" s="23"/>
      <c r="P32" s="23"/>
      <c r="Q32" s="142" t="str">
        <f>IF(ISBLANK(B32),"",IF(R32&lt;Rec!$E$2,"Y","N"))</f>
        <v>N</v>
      </c>
      <c r="R32" s="155" t="s">
        <v>172</v>
      </c>
      <c r="S32" s="147">
        <f>COUNTIF(Q$7:Q32,"Y")</f>
        <v>0</v>
      </c>
      <c r="T32" s="2"/>
      <c r="U32"/>
      <c r="V32"/>
      <c r="W32"/>
      <c r="X32"/>
      <c r="Y32"/>
      <c r="Z32"/>
      <c r="AA32"/>
      <c r="AB32"/>
      <c r="AC32" s="32"/>
    </row>
    <row r="33" spans="1:29" s="5" customFormat="1" ht="12.75" customHeight="1" x14ac:dyDescent="0.2">
      <c r="A33" s="148" t="str">
        <f t="shared" si="0"/>
        <v/>
      </c>
      <c r="B33" s="26" t="s">
        <v>150</v>
      </c>
      <c r="C33" s="19" t="s">
        <v>77</v>
      </c>
      <c r="D33" s="167" t="s">
        <v>151</v>
      </c>
      <c r="E33" s="19" t="s">
        <v>20</v>
      </c>
      <c r="F33" s="21">
        <v>33.6</v>
      </c>
      <c r="G33" s="21"/>
      <c r="H33" s="23"/>
      <c r="I33" s="22" t="s">
        <v>150</v>
      </c>
      <c r="J33" s="24" t="s">
        <v>176</v>
      </c>
      <c r="K33" s="22"/>
      <c r="L33" s="23">
        <v>33.6</v>
      </c>
      <c r="M33" s="23"/>
      <c r="N33" s="23"/>
      <c r="O33" s="23"/>
      <c r="P33" s="23"/>
      <c r="Q33" s="142" t="str">
        <f>IF(ISBLANK(B33),"",IF(R33&lt;Rec!$E$2,"Y","N"))</f>
        <v>N</v>
      </c>
      <c r="R33" s="155" t="s">
        <v>173</v>
      </c>
      <c r="S33" s="147">
        <f>COUNTIF(Q$7:Q33,"Y")</f>
        <v>0</v>
      </c>
      <c r="T33" s="2"/>
      <c r="U33"/>
      <c r="V33"/>
      <c r="W33"/>
      <c r="X33"/>
      <c r="Y33"/>
      <c r="Z33"/>
      <c r="AA33"/>
      <c r="AB33"/>
      <c r="AC33" s="32"/>
    </row>
    <row r="34" spans="1:29" s="5" customFormat="1" ht="12.75" customHeight="1" x14ac:dyDescent="0.2">
      <c r="A34" s="148" t="str">
        <f t="shared" si="0"/>
        <v/>
      </c>
      <c r="B34" s="26" t="s">
        <v>150</v>
      </c>
      <c r="C34" s="19" t="s">
        <v>152</v>
      </c>
      <c r="D34" s="167" t="s">
        <v>153</v>
      </c>
      <c r="E34" s="19" t="s">
        <v>154</v>
      </c>
      <c r="F34" s="25">
        <v>11.45</v>
      </c>
      <c r="G34" s="25"/>
      <c r="H34" s="23">
        <v>1.91</v>
      </c>
      <c r="I34" s="22" t="s">
        <v>150</v>
      </c>
      <c r="J34" s="24" t="s">
        <v>176</v>
      </c>
      <c r="K34" s="23"/>
      <c r="L34" s="23"/>
      <c r="M34" s="23">
        <v>11.45</v>
      </c>
      <c r="N34" s="23"/>
      <c r="O34" s="23"/>
      <c r="P34" s="23"/>
      <c r="Q34" s="142" t="s">
        <v>188</v>
      </c>
      <c r="R34" s="155" t="s">
        <v>190</v>
      </c>
      <c r="S34" s="147">
        <f>COUNTIF(Q$7:Q34,"Y")</f>
        <v>0</v>
      </c>
      <c r="T34"/>
      <c r="U34"/>
      <c r="V34"/>
      <c r="W34"/>
      <c r="X34"/>
      <c r="Y34"/>
      <c r="Z34"/>
      <c r="AA34"/>
      <c r="AB34"/>
      <c r="AC34" s="32"/>
    </row>
    <row r="35" spans="1:29" s="5" customFormat="1" ht="12.75" customHeight="1" x14ac:dyDescent="0.2">
      <c r="A35" s="148" t="str">
        <f t="shared" si="0"/>
        <v/>
      </c>
      <c r="B35" s="26" t="s">
        <v>150</v>
      </c>
      <c r="C35" s="29" t="s">
        <v>155</v>
      </c>
      <c r="D35" s="167" t="s">
        <v>159</v>
      </c>
      <c r="E35" s="19" t="s">
        <v>156</v>
      </c>
      <c r="F35" s="25">
        <v>187.2</v>
      </c>
      <c r="G35" s="25"/>
      <c r="H35" s="23">
        <v>31.2</v>
      </c>
      <c r="I35" s="22" t="s">
        <v>150</v>
      </c>
      <c r="J35" s="24" t="s">
        <v>176</v>
      </c>
      <c r="K35" s="23"/>
      <c r="L35" s="23"/>
      <c r="M35" s="23">
        <v>187.2</v>
      </c>
      <c r="N35" s="23"/>
      <c r="O35" s="23"/>
      <c r="P35" s="23"/>
      <c r="Q35" s="142" t="str">
        <f>IF(ISBLANK(B35),"",IF(R35&lt;Rec!$E$2,"Y","N"))</f>
        <v>N</v>
      </c>
      <c r="R35" s="155" t="s">
        <v>173</v>
      </c>
      <c r="S35" s="147">
        <f>COUNTIF(Q$7:Q35,"Y")</f>
        <v>0</v>
      </c>
      <c r="T35"/>
      <c r="U35"/>
      <c r="V35"/>
      <c r="W35"/>
      <c r="X35"/>
      <c r="Y35"/>
      <c r="Z35"/>
      <c r="AA35"/>
      <c r="AB35"/>
      <c r="AC35" s="32"/>
    </row>
    <row r="36" spans="1:29" s="5" customFormat="1" ht="12.75" customHeight="1" x14ac:dyDescent="0.2">
      <c r="A36" s="148" t="str">
        <f t="shared" si="0"/>
        <v/>
      </c>
      <c r="B36" s="26" t="s">
        <v>157</v>
      </c>
      <c r="C36" s="29" t="s">
        <v>158</v>
      </c>
      <c r="D36" s="167" t="s">
        <v>160</v>
      </c>
      <c r="E36" s="19" t="s">
        <v>177</v>
      </c>
      <c r="F36" s="25">
        <v>216</v>
      </c>
      <c r="G36" s="25"/>
      <c r="H36" s="23">
        <v>36</v>
      </c>
      <c r="I36" s="22" t="s">
        <v>150</v>
      </c>
      <c r="J36" s="24" t="s">
        <v>176</v>
      </c>
      <c r="K36" s="23"/>
      <c r="L36" s="23"/>
      <c r="M36" s="23">
        <v>216</v>
      </c>
      <c r="N36" s="23"/>
      <c r="O36" s="23"/>
      <c r="P36" s="23"/>
      <c r="Q36" s="142" t="str">
        <f>IF(ISBLANK(B36),"",IF(R36&lt;Rec!$E$2,"Y","N"))</f>
        <v>N</v>
      </c>
      <c r="R36" s="155" t="s">
        <v>174</v>
      </c>
      <c r="S36" s="147">
        <f>COUNTIF(Q$7:Q36,"Y")</f>
        <v>0</v>
      </c>
      <c r="T36"/>
      <c r="U36"/>
      <c r="V36"/>
      <c r="W36"/>
      <c r="X36"/>
      <c r="Y36"/>
      <c r="Z36"/>
      <c r="AA36"/>
      <c r="AB36"/>
      <c r="AC36" s="32"/>
    </row>
    <row r="37" spans="1:29" ht="12.75" customHeight="1" x14ac:dyDescent="0.2">
      <c r="A37" s="148" t="str">
        <f t="shared" si="0"/>
        <v/>
      </c>
      <c r="B37" s="26" t="s">
        <v>161</v>
      </c>
      <c r="C37" s="29" t="s">
        <v>162</v>
      </c>
      <c r="D37" s="167" t="s">
        <v>163</v>
      </c>
      <c r="E37" s="19" t="s">
        <v>164</v>
      </c>
      <c r="F37" s="25">
        <v>365</v>
      </c>
      <c r="G37" s="25"/>
      <c r="H37" s="23"/>
      <c r="I37" s="22" t="s">
        <v>187</v>
      </c>
      <c r="J37" s="24" t="s">
        <v>200</v>
      </c>
      <c r="K37" s="23"/>
      <c r="L37" s="23"/>
      <c r="M37" s="23">
        <v>365</v>
      </c>
      <c r="N37" s="23"/>
      <c r="O37" s="23"/>
      <c r="P37" s="23"/>
      <c r="Q37" s="142" t="str">
        <f>IF(ISBLANK(B37),"",IF(R37&lt;Rec!$E$2,"Y","N"))</f>
        <v>N</v>
      </c>
      <c r="R37" s="155" t="s">
        <v>175</v>
      </c>
      <c r="S37" s="147">
        <f>COUNTIF(Q$7:Q37,"Y")</f>
        <v>0</v>
      </c>
    </row>
    <row r="38" spans="1:29" ht="12.75" customHeight="1" x14ac:dyDescent="0.2">
      <c r="A38" s="148" t="str">
        <f t="shared" si="0"/>
        <v/>
      </c>
      <c r="B38" s="26" t="s">
        <v>165</v>
      </c>
      <c r="C38" s="29" t="s">
        <v>77</v>
      </c>
      <c r="D38" s="105" t="s">
        <v>166</v>
      </c>
      <c r="E38" s="19" t="s">
        <v>20</v>
      </c>
      <c r="F38" s="25">
        <v>33.799999999999997</v>
      </c>
      <c r="G38" s="25"/>
      <c r="H38" s="23"/>
      <c r="I38" s="22" t="s">
        <v>187</v>
      </c>
      <c r="J38" s="24" t="s">
        <v>200</v>
      </c>
      <c r="K38" s="23"/>
      <c r="L38" s="23">
        <v>33.799999999999997</v>
      </c>
      <c r="M38" s="23"/>
      <c r="N38" s="23"/>
      <c r="O38" s="23"/>
      <c r="P38" s="23"/>
      <c r="Q38" s="142" t="s">
        <v>188</v>
      </c>
      <c r="R38" s="155" t="s">
        <v>165</v>
      </c>
      <c r="S38" s="147">
        <f>COUNTIF(Q$7:Q38,"Y")</f>
        <v>0</v>
      </c>
      <c r="T38" t="b">
        <f>ISBLANK(R38)</f>
        <v>0</v>
      </c>
    </row>
    <row r="39" spans="1:29" ht="12.75" customHeight="1" x14ac:dyDescent="0.2">
      <c r="A39" s="148" t="str">
        <f t="shared" si="0"/>
        <v/>
      </c>
      <c r="B39" s="26" t="s">
        <v>165</v>
      </c>
      <c r="C39" s="29" t="s">
        <v>167</v>
      </c>
      <c r="D39" s="105" t="s">
        <v>168</v>
      </c>
      <c r="E39" s="19" t="s">
        <v>169</v>
      </c>
      <c r="F39" s="25">
        <v>134.65</v>
      </c>
      <c r="G39" s="25"/>
      <c r="H39" s="23"/>
      <c r="I39" s="22" t="s">
        <v>187</v>
      </c>
      <c r="J39" s="24" t="s">
        <v>200</v>
      </c>
      <c r="K39" s="23"/>
      <c r="L39" s="23">
        <v>134.65</v>
      </c>
      <c r="M39" s="23"/>
      <c r="N39" s="23"/>
      <c r="O39" s="23"/>
      <c r="P39" s="23"/>
      <c r="Q39" s="142" t="s">
        <v>188</v>
      </c>
      <c r="R39" s="155" t="s">
        <v>190</v>
      </c>
      <c r="S39" s="147">
        <f>COUNTIF(Q$7:Q39,"Y")</f>
        <v>0</v>
      </c>
    </row>
    <row r="40" spans="1:29" ht="12.75" customHeight="1" x14ac:dyDescent="0.2">
      <c r="A40" s="148" t="str">
        <f t="shared" si="0"/>
        <v/>
      </c>
      <c r="B40" s="26" t="s">
        <v>187</v>
      </c>
      <c r="C40" s="29" t="s">
        <v>77</v>
      </c>
      <c r="D40" s="105" t="s">
        <v>191</v>
      </c>
      <c r="E40" s="19" t="s">
        <v>20</v>
      </c>
      <c r="F40" s="25">
        <v>33.6</v>
      </c>
      <c r="G40" s="25"/>
      <c r="H40" s="23"/>
      <c r="I40" s="22" t="s">
        <v>187</v>
      </c>
      <c r="J40" s="24" t="s">
        <v>200</v>
      </c>
      <c r="K40" s="23"/>
      <c r="L40" s="23">
        <v>33.6</v>
      </c>
      <c r="M40" s="23"/>
      <c r="N40" s="23"/>
      <c r="O40" s="23"/>
      <c r="P40" s="23"/>
      <c r="Q40" s="142" t="s">
        <v>188</v>
      </c>
      <c r="R40" s="155" t="s">
        <v>189</v>
      </c>
      <c r="S40" s="147">
        <f>COUNTIF(Q$7:Q40,"Y")</f>
        <v>0</v>
      </c>
    </row>
    <row r="41" spans="1:29" ht="12.75" customHeight="1" x14ac:dyDescent="0.2">
      <c r="A41" s="148" t="str">
        <f t="shared" si="0"/>
        <v/>
      </c>
      <c r="B41" s="26" t="s">
        <v>187</v>
      </c>
      <c r="C41" s="29" t="s">
        <v>167</v>
      </c>
      <c r="D41" s="105" t="s">
        <v>192</v>
      </c>
      <c r="E41" s="19" t="s">
        <v>193</v>
      </c>
      <c r="F41" s="25">
        <v>134.85</v>
      </c>
      <c r="G41" s="25"/>
      <c r="H41" s="23"/>
      <c r="I41" s="22" t="s">
        <v>187</v>
      </c>
      <c r="J41" s="24" t="s">
        <v>200</v>
      </c>
      <c r="K41" s="23"/>
      <c r="L41" s="23">
        <v>134.85</v>
      </c>
      <c r="M41" s="23"/>
      <c r="N41" s="23"/>
      <c r="O41" s="23"/>
      <c r="P41" s="23"/>
      <c r="Q41" s="142" t="s">
        <v>188</v>
      </c>
      <c r="R41" s="155" t="s">
        <v>208</v>
      </c>
      <c r="S41" s="147">
        <f>COUNTIF(Q$7:Q41,"Y")</f>
        <v>0</v>
      </c>
    </row>
    <row r="42" spans="1:29" ht="12.75" customHeight="1" x14ac:dyDescent="0.2">
      <c r="A42" s="148" t="str">
        <f t="shared" si="0"/>
        <v/>
      </c>
      <c r="B42" s="26" t="s">
        <v>187</v>
      </c>
      <c r="C42" s="29" t="s">
        <v>194</v>
      </c>
      <c r="D42" s="105" t="s">
        <v>195</v>
      </c>
      <c r="E42" s="19" t="s">
        <v>196</v>
      </c>
      <c r="F42" s="25">
        <v>288</v>
      </c>
      <c r="G42" s="25"/>
      <c r="H42" s="23">
        <v>48</v>
      </c>
      <c r="I42" s="22" t="s">
        <v>187</v>
      </c>
      <c r="J42" s="24" t="s">
        <v>200</v>
      </c>
      <c r="K42" s="23"/>
      <c r="L42" s="23"/>
      <c r="M42" s="23"/>
      <c r="N42" s="23"/>
      <c r="O42" s="23"/>
      <c r="P42" s="23"/>
      <c r="Q42" s="142" t="s">
        <v>188</v>
      </c>
      <c r="R42" s="155" t="s">
        <v>209</v>
      </c>
      <c r="S42" s="147">
        <f>COUNTIF(Q$7:Q42,"Y")</f>
        <v>0</v>
      </c>
    </row>
    <row r="43" spans="1:29" ht="12.75" customHeight="1" x14ac:dyDescent="0.2">
      <c r="A43" s="148" t="str">
        <f t="shared" si="0"/>
        <v/>
      </c>
      <c r="B43" s="26" t="s">
        <v>187</v>
      </c>
      <c r="C43" s="29" t="s">
        <v>197</v>
      </c>
      <c r="D43" s="105" t="s">
        <v>198</v>
      </c>
      <c r="E43" s="19" t="s">
        <v>199</v>
      </c>
      <c r="F43" s="25">
        <v>25</v>
      </c>
      <c r="G43" s="25"/>
      <c r="H43" s="23"/>
      <c r="I43" s="22" t="s">
        <v>187</v>
      </c>
      <c r="J43" s="24" t="s">
        <v>200</v>
      </c>
      <c r="K43" s="23"/>
      <c r="L43" s="23"/>
      <c r="M43" s="23"/>
      <c r="N43" s="23">
        <v>25</v>
      </c>
      <c r="O43" s="23"/>
      <c r="P43" s="23"/>
      <c r="Q43" s="142" t="s">
        <v>188</v>
      </c>
      <c r="R43" s="155" t="s">
        <v>210</v>
      </c>
      <c r="S43" s="147">
        <f>COUNTIF(Q$7:Q43,"Y")</f>
        <v>0</v>
      </c>
    </row>
    <row r="44" spans="1:29" ht="12.75" customHeight="1" x14ac:dyDescent="0.2">
      <c r="A44" s="148" t="str">
        <f t="shared" si="0"/>
        <v/>
      </c>
      <c r="B44" s="26" t="s">
        <v>201</v>
      </c>
      <c r="C44" s="29" t="s">
        <v>77</v>
      </c>
      <c r="D44" s="105" t="s">
        <v>202</v>
      </c>
      <c r="E44" s="19" t="s">
        <v>20</v>
      </c>
      <c r="F44" s="25">
        <v>33.6</v>
      </c>
      <c r="G44" s="25"/>
      <c r="H44" s="23"/>
      <c r="I44" s="22" t="s">
        <v>201</v>
      </c>
      <c r="J44" s="24" t="s">
        <v>207</v>
      </c>
      <c r="K44" s="23"/>
      <c r="L44" s="23">
        <v>33.6</v>
      </c>
      <c r="M44" s="23"/>
      <c r="N44" s="23"/>
      <c r="O44" s="23"/>
      <c r="P44" s="23"/>
      <c r="Q44" s="142" t="s">
        <v>188</v>
      </c>
      <c r="R44" s="171" t="s">
        <v>218</v>
      </c>
      <c r="S44" s="147">
        <f>COUNTIF(Q$7:Q44,"Y")</f>
        <v>0</v>
      </c>
    </row>
    <row r="45" spans="1:29" ht="12.75" customHeight="1" x14ac:dyDescent="0.2">
      <c r="A45" s="148" t="str">
        <f t="shared" si="0"/>
        <v/>
      </c>
      <c r="B45" s="26" t="s">
        <v>201</v>
      </c>
      <c r="C45" s="29" t="s">
        <v>167</v>
      </c>
      <c r="D45" s="105" t="s">
        <v>203</v>
      </c>
      <c r="E45" s="19" t="s">
        <v>204</v>
      </c>
      <c r="F45" s="25">
        <v>134.85</v>
      </c>
      <c r="G45" s="25"/>
      <c r="H45" s="23"/>
      <c r="I45" s="22" t="s">
        <v>201</v>
      </c>
      <c r="J45" s="24" t="s">
        <v>207</v>
      </c>
      <c r="K45" s="23"/>
      <c r="L45" s="23">
        <v>134.85</v>
      </c>
      <c r="M45" s="23"/>
      <c r="N45" s="23"/>
      <c r="O45" s="23"/>
      <c r="P45" s="23"/>
      <c r="Q45" s="142" t="s">
        <v>188</v>
      </c>
      <c r="R45" s="171" t="s">
        <v>217</v>
      </c>
      <c r="S45" s="147">
        <f>COUNTIF(Q$7:Q45,"Y")</f>
        <v>0</v>
      </c>
    </row>
    <row r="46" spans="1:29" ht="12.75" customHeight="1" x14ac:dyDescent="0.2">
      <c r="A46" s="148" t="str">
        <f t="shared" si="0"/>
        <v/>
      </c>
      <c r="B46" s="26" t="s">
        <v>201</v>
      </c>
      <c r="C46" s="29" t="s">
        <v>206</v>
      </c>
      <c r="D46" s="105" t="s">
        <v>205</v>
      </c>
      <c r="E46" s="19" t="s">
        <v>211</v>
      </c>
      <c r="F46" s="25">
        <v>250</v>
      </c>
      <c r="G46" s="25"/>
      <c r="H46" s="23"/>
      <c r="I46" s="22" t="s">
        <v>201</v>
      </c>
      <c r="J46" s="24" t="s">
        <v>207</v>
      </c>
      <c r="K46" s="23"/>
      <c r="L46" s="23"/>
      <c r="M46" s="23"/>
      <c r="N46" s="23"/>
      <c r="O46" s="23"/>
      <c r="P46" s="23"/>
      <c r="Q46" s="142" t="s">
        <v>188</v>
      </c>
      <c r="R46" s="171" t="s">
        <v>216</v>
      </c>
      <c r="S46" s="147">
        <f>COUNTIF(Q$7:Q46,"Y")</f>
        <v>0</v>
      </c>
    </row>
    <row r="47" spans="1:29" ht="12.75" customHeight="1" x14ac:dyDescent="0.2">
      <c r="A47" s="148" t="str">
        <f t="shared" si="0"/>
        <v/>
      </c>
      <c r="B47" s="26" t="s">
        <v>212</v>
      </c>
      <c r="C47" s="29" t="s">
        <v>167</v>
      </c>
      <c r="D47" s="105" t="s">
        <v>213</v>
      </c>
      <c r="E47" s="19" t="s">
        <v>214</v>
      </c>
      <c r="F47" s="25">
        <v>134.65</v>
      </c>
      <c r="G47" s="25"/>
      <c r="H47" s="23"/>
      <c r="I47" s="22" t="s">
        <v>212</v>
      </c>
      <c r="J47" s="24" t="s">
        <v>221</v>
      </c>
      <c r="K47" s="23"/>
      <c r="L47" s="23">
        <v>134.65</v>
      </c>
      <c r="M47" s="23"/>
      <c r="N47" s="23"/>
      <c r="O47" s="23"/>
      <c r="P47" s="23"/>
      <c r="Q47" s="142" t="s">
        <v>188</v>
      </c>
      <c r="R47" s="171" t="s">
        <v>219</v>
      </c>
      <c r="S47" s="147">
        <f>COUNTIF(Q$7:Q47,"Y")</f>
        <v>0</v>
      </c>
    </row>
    <row r="48" spans="1:29" ht="12.75" customHeight="1" x14ac:dyDescent="0.2">
      <c r="A48" s="148" t="str">
        <f t="shared" si="0"/>
        <v/>
      </c>
      <c r="B48" s="26" t="s">
        <v>212</v>
      </c>
      <c r="C48" s="29" t="s">
        <v>77</v>
      </c>
      <c r="D48" s="105" t="s">
        <v>215</v>
      </c>
      <c r="E48" s="19" t="s">
        <v>20</v>
      </c>
      <c r="F48" s="25">
        <v>33.799999999999997</v>
      </c>
      <c r="G48" s="25"/>
      <c r="H48" s="23"/>
      <c r="I48" s="22" t="s">
        <v>212</v>
      </c>
      <c r="J48" s="24" t="s">
        <v>221</v>
      </c>
      <c r="K48" s="23"/>
      <c r="L48" s="23">
        <v>33.799999999999997</v>
      </c>
      <c r="M48" s="23"/>
      <c r="N48" s="23"/>
      <c r="O48" s="23"/>
      <c r="P48" s="23"/>
      <c r="Q48" s="142" t="s">
        <v>188</v>
      </c>
      <c r="R48" s="171" t="s">
        <v>220</v>
      </c>
      <c r="S48" s="147">
        <f>COUNTIF(Q$7:Q48,"Y")</f>
        <v>0</v>
      </c>
    </row>
    <row r="49" spans="1:19" ht="12.75" customHeight="1" x14ac:dyDescent="0.2">
      <c r="A49" s="148" t="str">
        <f t="shared" si="0"/>
        <v/>
      </c>
      <c r="B49" s="26"/>
      <c r="C49" s="29"/>
      <c r="D49" s="105"/>
      <c r="E49" s="19"/>
      <c r="F49" s="25"/>
      <c r="G49" s="25"/>
      <c r="H49" s="23"/>
      <c r="I49" s="22"/>
      <c r="J49" s="24"/>
      <c r="K49" s="23"/>
      <c r="L49" s="23"/>
      <c r="M49" s="23"/>
      <c r="N49" s="23"/>
      <c r="O49" s="23"/>
      <c r="P49" s="23"/>
      <c r="Q49" s="142" t="str">
        <f>IF(ISBLANK(B49),"",IF(R49&lt;Rec!$E$2,"Y","N"))</f>
        <v/>
      </c>
      <c r="S49" s="147">
        <f>COUNTIF(Q$7:Q49,"Y")</f>
        <v>0</v>
      </c>
    </row>
    <row r="50" spans="1:19" ht="12.75" customHeight="1" x14ac:dyDescent="0.2">
      <c r="A50" s="148" t="str">
        <f t="shared" si="0"/>
        <v/>
      </c>
      <c r="B50" s="26"/>
      <c r="C50" s="29"/>
      <c r="D50" s="105"/>
      <c r="E50" s="19"/>
      <c r="F50" s="25"/>
      <c r="G50" s="25"/>
      <c r="H50" s="23"/>
      <c r="I50" s="22"/>
      <c r="J50" s="24"/>
      <c r="K50" s="23"/>
      <c r="L50" s="23"/>
      <c r="M50" s="23"/>
      <c r="N50" s="23"/>
      <c r="O50" s="23"/>
      <c r="P50" s="23"/>
      <c r="Q50" s="142" t="str">
        <f>IF(ISBLANK(B50),"",IF(R50&lt;Rec!$E$2,"Y","N"))</f>
        <v/>
      </c>
      <c r="S50" s="147">
        <f>COUNTIF(Q$7:Q50,"Y")</f>
        <v>0</v>
      </c>
    </row>
    <row r="51" spans="1:19" ht="12.75" customHeight="1" x14ac:dyDescent="0.2">
      <c r="A51" s="148" t="str">
        <f t="shared" si="0"/>
        <v/>
      </c>
      <c r="B51" s="26"/>
      <c r="C51" s="29"/>
      <c r="D51" s="105"/>
      <c r="E51" s="19"/>
      <c r="F51" s="25"/>
      <c r="G51" s="25"/>
      <c r="H51" s="23"/>
      <c r="I51" s="22"/>
      <c r="J51" s="24"/>
      <c r="K51" s="23"/>
      <c r="L51" s="23"/>
      <c r="M51" s="23"/>
      <c r="N51" s="23"/>
      <c r="O51" s="23"/>
      <c r="P51" s="23"/>
      <c r="Q51" s="142" t="str">
        <f>IF(ISBLANK(B51),"",IF(R51&lt;Rec!$E$2,"Y","N"))</f>
        <v/>
      </c>
      <c r="S51" s="147">
        <f>COUNTIF(Q$7:Q51,"Y")</f>
        <v>0</v>
      </c>
    </row>
    <row r="52" spans="1:19" ht="12.75" customHeight="1" x14ac:dyDescent="0.2">
      <c r="A52" s="148" t="str">
        <f t="shared" si="0"/>
        <v/>
      </c>
      <c r="B52" s="26"/>
      <c r="C52" s="29"/>
      <c r="D52" s="105"/>
      <c r="E52" s="19"/>
      <c r="F52" s="25"/>
      <c r="G52" s="25"/>
      <c r="H52" s="23"/>
      <c r="I52" s="22"/>
      <c r="J52" s="24"/>
      <c r="K52" s="23"/>
      <c r="L52" s="23"/>
      <c r="M52" s="23"/>
      <c r="N52" s="23"/>
      <c r="O52" s="23"/>
      <c r="P52" s="23"/>
      <c r="Q52" s="142" t="str">
        <f>IF(ISBLANK(B52),"",IF(R52&lt;Rec!$E$2,"Y","N"))</f>
        <v/>
      </c>
      <c r="S52" s="147">
        <f>COUNTIF(Q$7:Q52,"Y")</f>
        <v>0</v>
      </c>
    </row>
    <row r="53" spans="1:19" ht="12.75" customHeight="1" x14ac:dyDescent="0.2">
      <c r="A53" s="148" t="str">
        <f t="shared" si="0"/>
        <v/>
      </c>
      <c r="B53" s="26"/>
      <c r="C53" s="29"/>
      <c r="D53" s="105"/>
      <c r="E53" s="19"/>
      <c r="F53" s="25"/>
      <c r="G53" s="25"/>
      <c r="H53" s="23"/>
      <c r="I53" s="22"/>
      <c r="J53" s="24"/>
      <c r="K53" s="23"/>
      <c r="L53" s="23"/>
      <c r="M53" s="23"/>
      <c r="N53" s="23"/>
      <c r="O53" s="23"/>
      <c r="P53" s="23"/>
      <c r="Q53" s="142" t="str">
        <f>IF(ISBLANK(B53),"",IF(R53&lt;Rec!$E$2,"Y","N"))</f>
        <v/>
      </c>
      <c r="S53" s="147">
        <f>COUNTIF(Q$7:Q53,"Y")</f>
        <v>0</v>
      </c>
    </row>
    <row r="54" spans="1:19" ht="12.75" customHeight="1" x14ac:dyDescent="0.2">
      <c r="A54" s="148" t="str">
        <f t="shared" si="0"/>
        <v/>
      </c>
      <c r="B54" s="26"/>
      <c r="C54" s="29"/>
      <c r="D54" s="105"/>
      <c r="E54" s="19"/>
      <c r="F54" s="25"/>
      <c r="G54" s="25"/>
      <c r="H54" s="23"/>
      <c r="I54" s="22"/>
      <c r="J54" s="24"/>
      <c r="K54" s="23"/>
      <c r="L54" s="23"/>
      <c r="M54" s="23"/>
      <c r="N54" s="23"/>
      <c r="O54" s="23"/>
      <c r="P54" s="23"/>
      <c r="Q54" s="142" t="str">
        <f>IF(ISBLANK(B54),"",IF(R54&lt;Rec!$E$2,"Y","N"))</f>
        <v/>
      </c>
      <c r="S54" s="147">
        <f>COUNTIF(Q$7:Q54,"Y")</f>
        <v>0</v>
      </c>
    </row>
    <row r="55" spans="1:19" ht="12.75" customHeight="1" x14ac:dyDescent="0.2">
      <c r="A55" s="148" t="str">
        <f t="shared" si="0"/>
        <v/>
      </c>
      <c r="B55" s="26"/>
      <c r="C55" s="29"/>
      <c r="D55" s="105"/>
      <c r="E55" s="19"/>
      <c r="F55" s="25"/>
      <c r="G55" s="25"/>
      <c r="H55" s="23"/>
      <c r="I55" s="22"/>
      <c r="J55" s="24"/>
      <c r="K55" s="23"/>
      <c r="L55" s="23"/>
      <c r="M55" s="23"/>
      <c r="N55" s="23"/>
      <c r="O55" s="23"/>
      <c r="P55" s="23"/>
      <c r="Q55" s="142" t="str">
        <f>IF(ISBLANK(B55),"",IF(R55&lt;Rec!$E$2,"Y","N"))</f>
        <v/>
      </c>
      <c r="S55" s="147">
        <f>COUNTIF(Q$7:Q55,"Y")</f>
        <v>0</v>
      </c>
    </row>
    <row r="56" spans="1:19" ht="12.75" customHeight="1" x14ac:dyDescent="0.2">
      <c r="A56" s="148" t="str">
        <f t="shared" si="0"/>
        <v/>
      </c>
      <c r="B56" s="26"/>
      <c r="C56" s="29"/>
      <c r="D56" s="105"/>
      <c r="E56" s="19"/>
      <c r="F56" s="25"/>
      <c r="G56" s="25"/>
      <c r="H56" s="23"/>
      <c r="I56" s="22"/>
      <c r="J56" s="24"/>
      <c r="K56" s="23"/>
      <c r="L56" s="23"/>
      <c r="M56" s="23"/>
      <c r="N56" s="23"/>
      <c r="O56" s="23"/>
      <c r="P56" s="23"/>
      <c r="Q56" s="142" t="str">
        <f>IF(ISBLANK(B56),"",IF(R56&lt;Rec!$E$2,"Y","N"))</f>
        <v/>
      </c>
      <c r="S56" s="147">
        <f>COUNTIF(Q$7:Q56,"Y")</f>
        <v>0</v>
      </c>
    </row>
    <row r="57" spans="1:19" ht="12.75" customHeight="1" x14ac:dyDescent="0.2">
      <c r="A57" s="148" t="str">
        <f t="shared" si="0"/>
        <v/>
      </c>
      <c r="B57" s="26"/>
      <c r="C57" s="29"/>
      <c r="D57" s="105"/>
      <c r="E57" s="19"/>
      <c r="F57" s="25"/>
      <c r="G57" s="25"/>
      <c r="H57" s="23"/>
      <c r="I57" s="22"/>
      <c r="J57" s="24"/>
      <c r="K57" s="23"/>
      <c r="L57" s="23"/>
      <c r="M57" s="23"/>
      <c r="N57" s="23"/>
      <c r="O57" s="23"/>
      <c r="P57" s="23"/>
      <c r="Q57" s="142" t="str">
        <f>IF(ISBLANK(B57),"",IF(R57&lt;Rec!$E$2,"Y","N"))</f>
        <v/>
      </c>
      <c r="S57" s="147">
        <f>COUNTIF(Q$7:Q57,"Y")</f>
        <v>0</v>
      </c>
    </row>
    <row r="58" spans="1:19" ht="12.75" customHeight="1" x14ac:dyDescent="0.2">
      <c r="A58" s="148" t="str">
        <f t="shared" si="0"/>
        <v/>
      </c>
      <c r="B58" s="26"/>
      <c r="C58" s="29"/>
      <c r="D58" s="105"/>
      <c r="E58" s="19"/>
      <c r="F58" s="25"/>
      <c r="G58" s="25"/>
      <c r="H58" s="23"/>
      <c r="I58" s="22"/>
      <c r="J58" s="24"/>
      <c r="K58" s="23"/>
      <c r="L58" s="23"/>
      <c r="M58" s="23"/>
      <c r="N58" s="23"/>
      <c r="O58" s="23"/>
      <c r="P58" s="23"/>
      <c r="Q58" s="142" t="str">
        <f>IF(ISBLANK(B58),"",IF(R58&lt;Rec!$E$2,"Y","N"))</f>
        <v/>
      </c>
      <c r="S58" s="147">
        <f>COUNTIF(Q$7:Q58,"Y")</f>
        <v>0</v>
      </c>
    </row>
    <row r="59" spans="1:19" ht="12.75" customHeight="1" x14ac:dyDescent="0.2">
      <c r="A59" s="148" t="str">
        <f t="shared" si="0"/>
        <v/>
      </c>
      <c r="B59" s="26"/>
      <c r="C59" s="29"/>
      <c r="D59" s="105"/>
      <c r="E59" s="19"/>
      <c r="F59" s="25"/>
      <c r="G59" s="25"/>
      <c r="H59" s="23"/>
      <c r="I59" s="22"/>
      <c r="J59" s="24"/>
      <c r="K59" s="23"/>
      <c r="L59" s="23"/>
      <c r="M59" s="23"/>
      <c r="N59" s="23"/>
      <c r="O59" s="23"/>
      <c r="P59" s="23"/>
      <c r="Q59" s="142" t="str">
        <f>IF(ISBLANK(B59),"",IF(R59&lt;Rec!$E$2,"Y","N"))</f>
        <v/>
      </c>
      <c r="S59" s="147">
        <f>COUNTIF(Q$7:Q59,"Y")</f>
        <v>0</v>
      </c>
    </row>
    <row r="60" spans="1:19" ht="12.75" customHeight="1" x14ac:dyDescent="0.2">
      <c r="A60" s="148" t="str">
        <f t="shared" si="0"/>
        <v/>
      </c>
      <c r="B60" s="26"/>
      <c r="C60" s="29"/>
      <c r="D60" s="105"/>
      <c r="E60" s="19"/>
      <c r="F60" s="25"/>
      <c r="G60" s="25"/>
      <c r="H60" s="23"/>
      <c r="I60" s="22"/>
      <c r="J60" s="24"/>
      <c r="K60" s="23"/>
      <c r="L60" s="23"/>
      <c r="M60" s="23"/>
      <c r="N60" s="23"/>
      <c r="O60" s="23"/>
      <c r="P60" s="23"/>
      <c r="Q60" s="142" t="str">
        <f>IF(ISBLANK(B60),"",IF(R60&lt;Rec!$E$2,"Y","N"))</f>
        <v/>
      </c>
      <c r="S60" s="147">
        <f>COUNTIF(Q$7:Q60,"Y")</f>
        <v>0</v>
      </c>
    </row>
    <row r="61" spans="1:19" ht="12.75" customHeight="1" x14ac:dyDescent="0.2">
      <c r="A61" s="148" t="str">
        <f t="shared" si="0"/>
        <v/>
      </c>
      <c r="B61" s="26"/>
      <c r="C61" s="29"/>
      <c r="D61" s="105"/>
      <c r="E61" s="19"/>
      <c r="F61" s="25"/>
      <c r="G61" s="25"/>
      <c r="H61" s="23"/>
      <c r="I61" s="22"/>
      <c r="J61" s="24"/>
      <c r="K61" s="23"/>
      <c r="L61" s="23"/>
      <c r="M61" s="23"/>
      <c r="N61" s="23"/>
      <c r="O61" s="23"/>
      <c r="P61" s="23"/>
      <c r="Q61" s="142" t="str">
        <f>IF(R61&lt;Rec!$E$2,"","Y")</f>
        <v/>
      </c>
      <c r="S61" s="147">
        <f>COUNTIF(Q$7:Q61,"Y")</f>
        <v>0</v>
      </c>
    </row>
    <row r="62" spans="1:19" ht="12.75" customHeight="1" x14ac:dyDescent="0.2">
      <c r="A62" s="148" t="str">
        <f t="shared" si="0"/>
        <v/>
      </c>
      <c r="B62" s="26"/>
      <c r="C62" s="29"/>
      <c r="D62" s="105"/>
      <c r="E62" s="19"/>
      <c r="F62" s="25"/>
      <c r="G62" s="25"/>
      <c r="H62" s="23"/>
      <c r="I62" s="22"/>
      <c r="J62" s="24"/>
      <c r="K62" s="23"/>
      <c r="L62" s="23"/>
      <c r="M62" s="23"/>
      <c r="N62" s="23"/>
      <c r="O62" s="23"/>
      <c r="P62" s="23"/>
      <c r="Q62" s="142" t="str">
        <f>IF(R62&lt;Rec!$E$2,"","Y")</f>
        <v/>
      </c>
      <c r="S62" s="147">
        <f>COUNTIF(Q$7:Q62,"Y")</f>
        <v>0</v>
      </c>
    </row>
    <row r="63" spans="1:19" ht="12.75" customHeight="1" x14ac:dyDescent="0.2">
      <c r="B63" s="26" t="s">
        <v>27</v>
      </c>
      <c r="C63" s="29"/>
      <c r="D63" s="105"/>
      <c r="E63" s="19"/>
      <c r="F63" s="25">
        <f>SUM(F8:F62)</f>
        <v>4703.24</v>
      </c>
      <c r="G63" s="25">
        <f>SUM(G8:G62)</f>
        <v>0</v>
      </c>
      <c r="H63" s="25">
        <f>SUM(H8:H62)</f>
        <v>230.48</v>
      </c>
      <c r="I63" s="22" t="s">
        <v>27</v>
      </c>
      <c r="J63" s="24" t="s">
        <v>100</v>
      </c>
      <c r="K63" s="23"/>
      <c r="L63" s="25">
        <f>SUM(L8:L62)</f>
        <v>2081.6399999999994</v>
      </c>
      <c r="M63" s="25">
        <f>SUM(M8:M62)</f>
        <v>2028.6</v>
      </c>
      <c r="N63" s="25">
        <f>SUM(N8:N62)</f>
        <v>55</v>
      </c>
      <c r="O63" s="25">
        <f>SUM(O8:O62)</f>
        <v>0</v>
      </c>
      <c r="P63" s="23"/>
      <c r="Q63" s="142"/>
      <c r="S63" s="145"/>
    </row>
    <row r="64" spans="1:19" ht="12.75" customHeight="1" x14ac:dyDescent="0.2">
      <c r="B64" s="9"/>
      <c r="F64" s="20"/>
      <c r="G64" s="20"/>
      <c r="H64" s="28"/>
      <c r="I64" s="35"/>
      <c r="J64" s="166"/>
      <c r="K64" s="28"/>
      <c r="L64" s="28"/>
      <c r="M64" s="28"/>
      <c r="N64" s="28"/>
      <c r="O64" s="28"/>
      <c r="P64" s="28"/>
      <c r="Q64" s="143"/>
      <c r="S64" s="145"/>
    </row>
    <row r="65" spans="2:19" ht="12.75" customHeight="1" x14ac:dyDescent="0.2">
      <c r="B65" s="9"/>
      <c r="F65" s="20"/>
      <c r="G65" s="20"/>
      <c r="H65" s="35"/>
      <c r="I65" s="28"/>
      <c r="J65" s="28"/>
      <c r="K65" s="27" t="s">
        <v>19</v>
      </c>
      <c r="L65" s="28"/>
      <c r="M65" s="28"/>
      <c r="N65" s="28"/>
      <c r="O65" s="28"/>
      <c r="P65" s="28"/>
      <c r="Q65" s="143"/>
      <c r="S65" s="145"/>
    </row>
    <row r="66" spans="2:19" ht="12.75" customHeight="1" x14ac:dyDescent="0.2">
      <c r="B66" s="9"/>
      <c r="F66" s="20"/>
      <c r="G66" s="20"/>
      <c r="H66" s="28"/>
      <c r="I66" s="28"/>
      <c r="J66" s="28"/>
      <c r="K66" s="27" t="s">
        <v>20</v>
      </c>
      <c r="L66" s="28"/>
      <c r="M66" s="28"/>
      <c r="N66" s="28"/>
      <c r="O66" s="28"/>
      <c r="P66" s="28"/>
      <c r="Q66" s="143"/>
      <c r="S66" s="145"/>
    </row>
    <row r="67" spans="2:19" ht="12.75" customHeight="1" x14ac:dyDescent="0.2">
      <c r="B67" s="9"/>
      <c r="F67" s="20"/>
      <c r="G67" s="20"/>
      <c r="H67" s="28"/>
      <c r="I67" s="28"/>
      <c r="J67" s="28"/>
      <c r="K67" s="27" t="s">
        <v>21</v>
      </c>
      <c r="L67" s="28"/>
      <c r="M67" s="28"/>
      <c r="N67" s="28"/>
      <c r="O67" s="28"/>
      <c r="P67" s="28"/>
      <c r="Q67" s="143"/>
      <c r="S67" s="145"/>
    </row>
    <row r="68" spans="2:19" ht="12.75" customHeight="1" x14ac:dyDescent="0.2">
      <c r="B68" s="9"/>
      <c r="F68" s="20"/>
      <c r="G68" s="20"/>
      <c r="H68" s="28"/>
      <c r="I68" s="35"/>
      <c r="J68" s="166"/>
      <c r="K68" s="27"/>
      <c r="L68" s="28"/>
      <c r="M68" s="28"/>
      <c r="N68" s="28"/>
      <c r="O68" s="28"/>
      <c r="P68" s="28"/>
      <c r="Q68" s="143"/>
      <c r="S68" s="145"/>
    </row>
    <row r="69" spans="2:19" ht="12.75" customHeight="1" x14ac:dyDescent="0.2">
      <c r="B69" s="9"/>
      <c r="F69" s="20"/>
      <c r="G69" s="20"/>
      <c r="H69" s="28"/>
      <c r="I69" s="28"/>
      <c r="J69" s="28"/>
      <c r="K69" s="36" t="s">
        <v>22</v>
      </c>
      <c r="M69" s="28"/>
      <c r="N69" s="28"/>
      <c r="O69" s="28"/>
      <c r="P69" s="28"/>
      <c r="Q69" s="143"/>
      <c r="S69" s="145"/>
    </row>
    <row r="70" spans="2:19" ht="12.75" customHeight="1" x14ac:dyDescent="0.2">
      <c r="B70" s="9"/>
      <c r="F70" s="20"/>
      <c r="G70" s="20"/>
      <c r="H70" s="28"/>
      <c r="I70" s="28"/>
      <c r="J70" s="28"/>
      <c r="K70" s="27" t="s">
        <v>23</v>
      </c>
      <c r="L70" s="28"/>
      <c r="M70" s="28"/>
      <c r="N70" s="28"/>
      <c r="O70" s="28"/>
      <c r="P70" s="28"/>
      <c r="Q70" s="143"/>
      <c r="S70" s="145"/>
    </row>
    <row r="71" spans="2:19" ht="12.75" customHeight="1" x14ac:dyDescent="0.2">
      <c r="B71" s="9"/>
      <c r="E71" s="37"/>
      <c r="F71" s="20"/>
      <c r="G71" s="20"/>
      <c r="H71" s="28"/>
      <c r="I71" s="28"/>
      <c r="J71" s="28"/>
      <c r="K71" s="27" t="s">
        <v>24</v>
      </c>
      <c r="L71" s="28"/>
      <c r="M71" s="28"/>
      <c r="N71" s="28"/>
      <c r="O71" s="28"/>
      <c r="P71" s="28"/>
      <c r="Q71" s="143"/>
      <c r="S71" s="145"/>
    </row>
    <row r="72" spans="2:19" ht="12.75" customHeight="1" x14ac:dyDescent="0.2">
      <c r="B72" s="9"/>
      <c r="F72" s="20"/>
      <c r="G72" s="20"/>
      <c r="H72" s="28"/>
      <c r="I72" s="35"/>
      <c r="J72" s="166"/>
      <c r="K72" s="28"/>
      <c r="M72" s="28"/>
      <c r="N72" s="28"/>
      <c r="O72" s="28"/>
      <c r="P72" s="28"/>
      <c r="Q72" s="143"/>
      <c r="S72" s="145"/>
    </row>
    <row r="73" spans="2:19" ht="12.75" customHeight="1" x14ac:dyDescent="0.2">
      <c r="B73" s="9"/>
      <c r="F73" s="20"/>
      <c r="G73" s="20"/>
      <c r="H73" s="28"/>
      <c r="I73" s="35"/>
      <c r="J73" s="166"/>
      <c r="K73" s="28"/>
      <c r="L73" s="28"/>
      <c r="M73" s="28"/>
      <c r="N73" s="28"/>
      <c r="O73" s="28"/>
      <c r="P73" s="28"/>
      <c r="Q73" s="143"/>
      <c r="S73" s="145"/>
    </row>
    <row r="74" spans="2:19" ht="12.75" customHeight="1" x14ac:dyDescent="0.2">
      <c r="B74" s="9"/>
      <c r="F74" s="20"/>
      <c r="G74" s="20"/>
      <c r="H74" s="28"/>
      <c r="I74" s="28"/>
      <c r="J74" s="28"/>
      <c r="K74" s="35" t="s">
        <v>25</v>
      </c>
      <c r="L74" s="28"/>
      <c r="M74" s="28"/>
      <c r="N74" s="28"/>
      <c r="O74" s="28"/>
      <c r="P74" s="28"/>
      <c r="Q74" s="143"/>
      <c r="S74" s="145"/>
    </row>
    <row r="75" spans="2:19" ht="12.75" customHeight="1" x14ac:dyDescent="0.2">
      <c r="B75" s="9"/>
      <c r="F75" s="20"/>
      <c r="G75" s="20"/>
      <c r="H75" s="28"/>
      <c r="I75" s="28"/>
      <c r="J75" s="28"/>
      <c r="K75" s="35" t="s">
        <v>26</v>
      </c>
      <c r="L75" s="28"/>
      <c r="M75" s="28"/>
      <c r="N75" s="28"/>
      <c r="O75" s="28"/>
      <c r="P75" s="28"/>
      <c r="Q75" s="143"/>
      <c r="S75" s="145"/>
    </row>
    <row r="76" spans="2:19" ht="12.75" customHeight="1" x14ac:dyDescent="0.2">
      <c r="B76" s="9"/>
      <c r="F76" s="20"/>
      <c r="G76" s="20"/>
      <c r="H76" s="28"/>
      <c r="I76" s="35"/>
      <c r="J76" s="166"/>
      <c r="K76" s="28"/>
      <c r="L76" s="28"/>
      <c r="M76" s="28"/>
      <c r="N76" s="28"/>
      <c r="O76" s="28"/>
      <c r="P76" s="28"/>
      <c r="Q76" s="143"/>
      <c r="S76" s="145"/>
    </row>
    <row r="77" spans="2:19" ht="12.75" customHeight="1" x14ac:dyDescent="0.2">
      <c r="B77" s="9"/>
      <c r="F77" s="20"/>
      <c r="G77" s="20"/>
      <c r="H77" s="28"/>
      <c r="I77" s="35"/>
      <c r="J77" s="166"/>
      <c r="K77" s="28"/>
      <c r="L77" s="28"/>
      <c r="M77" s="28"/>
      <c r="N77" s="28"/>
      <c r="O77" s="28"/>
      <c r="P77" s="28"/>
      <c r="Q77" s="143"/>
      <c r="S77" s="145"/>
    </row>
    <row r="78" spans="2:19" ht="12.75" customHeight="1" x14ac:dyDescent="0.2">
      <c r="B78" s="9"/>
      <c r="F78" s="20"/>
      <c r="G78" s="20"/>
      <c r="H78" s="28"/>
      <c r="I78" s="35"/>
      <c r="J78" s="166"/>
      <c r="K78" s="28"/>
      <c r="L78" s="28"/>
      <c r="M78" s="28"/>
      <c r="N78" s="28"/>
      <c r="O78" s="28"/>
      <c r="P78" s="28"/>
      <c r="Q78" s="143"/>
      <c r="S78" s="145"/>
    </row>
    <row r="79" spans="2:19" ht="12.75" customHeight="1" x14ac:dyDescent="0.2">
      <c r="B79" s="9"/>
      <c r="F79" s="20"/>
      <c r="G79" s="20"/>
      <c r="H79" s="28"/>
      <c r="I79" s="35"/>
      <c r="J79" s="166"/>
      <c r="K79" s="28"/>
      <c r="L79" s="28"/>
      <c r="M79" s="28"/>
      <c r="N79" s="28"/>
      <c r="O79" s="28"/>
      <c r="P79" s="28"/>
      <c r="Q79" s="143"/>
      <c r="S79" s="145"/>
    </row>
    <row r="80" spans="2:19" ht="12.75" customHeight="1" x14ac:dyDescent="0.2">
      <c r="B80" s="9"/>
      <c r="F80" s="20"/>
      <c r="G80" s="20"/>
      <c r="H80" s="28"/>
      <c r="I80" s="35"/>
      <c r="J80" s="166"/>
      <c r="K80" s="28"/>
      <c r="L80" s="28"/>
      <c r="M80" s="28"/>
      <c r="N80" s="28"/>
      <c r="O80" s="28"/>
      <c r="P80" s="28"/>
      <c r="Q80" s="143"/>
      <c r="S80" s="145"/>
    </row>
    <row r="81" spans="2:19" ht="12.75" customHeight="1" x14ac:dyDescent="0.2">
      <c r="B81" s="9"/>
      <c r="F81" s="20"/>
      <c r="G81" s="20"/>
      <c r="H81" s="28"/>
      <c r="I81" s="35"/>
      <c r="J81" s="166"/>
      <c r="K81" s="28"/>
      <c r="L81" s="28"/>
      <c r="M81" s="28"/>
      <c r="N81" s="28"/>
      <c r="O81" s="28"/>
      <c r="P81" s="28"/>
      <c r="Q81" s="143"/>
      <c r="S81" s="145"/>
    </row>
    <row r="82" spans="2:19" ht="12.75" customHeight="1" x14ac:dyDescent="0.2">
      <c r="B82" s="9"/>
      <c r="F82" s="20"/>
      <c r="G82" s="20"/>
      <c r="H82" s="28"/>
      <c r="I82" s="35"/>
      <c r="J82" s="166"/>
      <c r="K82" s="28"/>
      <c r="L82" s="28"/>
      <c r="M82" s="28"/>
      <c r="N82" s="28"/>
      <c r="O82" s="28"/>
      <c r="P82" s="28"/>
      <c r="Q82" s="143"/>
      <c r="S82" s="145"/>
    </row>
    <row r="83" spans="2:19" ht="12.75" customHeight="1" x14ac:dyDescent="0.2">
      <c r="B83" s="9"/>
      <c r="F83" s="20"/>
      <c r="G83" s="20"/>
      <c r="H83" s="28"/>
      <c r="I83" s="35"/>
      <c r="J83" s="166"/>
      <c r="K83" s="28"/>
      <c r="L83" s="28"/>
      <c r="M83" s="28"/>
      <c r="N83" s="28"/>
      <c r="O83" s="28"/>
      <c r="P83" s="28"/>
      <c r="Q83" s="143"/>
      <c r="S83" s="145"/>
    </row>
    <row r="84" spans="2:19" ht="12.75" customHeight="1" x14ac:dyDescent="0.2">
      <c r="B84" s="9"/>
      <c r="F84" s="20"/>
      <c r="G84" s="20"/>
      <c r="H84" s="28"/>
      <c r="I84" s="35"/>
      <c r="J84" s="166"/>
      <c r="K84" s="28"/>
      <c r="L84" s="28"/>
      <c r="M84" s="28"/>
      <c r="N84" s="28"/>
      <c r="O84" s="28"/>
      <c r="P84" s="28"/>
      <c r="Q84" s="143"/>
      <c r="S84" s="145"/>
    </row>
    <row r="85" spans="2:19" ht="12.75" customHeight="1" x14ac:dyDescent="0.2">
      <c r="B85" s="9"/>
      <c r="F85" s="20"/>
      <c r="G85" s="20"/>
      <c r="H85" s="28"/>
      <c r="I85" s="35"/>
      <c r="J85" s="166"/>
      <c r="K85" s="28"/>
      <c r="L85" s="28"/>
      <c r="M85" s="28"/>
      <c r="N85" s="28"/>
      <c r="O85" s="28"/>
      <c r="P85" s="28"/>
      <c r="Q85" s="143"/>
      <c r="S85" s="145"/>
    </row>
    <row r="86" spans="2:19" ht="12.75" customHeight="1" x14ac:dyDescent="0.2">
      <c r="B86" s="9"/>
      <c r="I86" s="35"/>
      <c r="J86" s="166"/>
      <c r="O86" s="2"/>
      <c r="P86" s="2"/>
      <c r="Q86" s="139"/>
      <c r="S86" s="145"/>
    </row>
    <row r="87" spans="2:19" ht="12.75" customHeight="1" x14ac:dyDescent="0.2">
      <c r="B87" s="9"/>
      <c r="I87" s="35"/>
      <c r="J87" s="166"/>
      <c r="O87" s="2"/>
      <c r="P87" s="2"/>
      <c r="Q87" s="139"/>
      <c r="S87" s="145"/>
    </row>
    <row r="88" spans="2:19" ht="12.75" customHeight="1" x14ac:dyDescent="0.2">
      <c r="B88" s="9"/>
      <c r="O88" s="2"/>
      <c r="P88" s="2"/>
      <c r="Q88" s="139"/>
      <c r="S88" s="145"/>
    </row>
    <row r="89" spans="2:19" ht="12.75" customHeight="1" x14ac:dyDescent="0.2">
      <c r="B89" s="9"/>
      <c r="O89" s="2"/>
      <c r="P89" s="2"/>
      <c r="Q89" s="139"/>
      <c r="S89" s="145"/>
    </row>
    <row r="90" spans="2:19" ht="12.75" customHeight="1" x14ac:dyDescent="0.2">
      <c r="B90" s="9"/>
      <c r="O90" s="2"/>
      <c r="P90" s="2"/>
      <c r="Q90" s="139"/>
      <c r="S90" s="145"/>
    </row>
    <row r="91" spans="2:19" ht="12.75" customHeight="1" x14ac:dyDescent="0.2">
      <c r="B91" s="9"/>
      <c r="O91" s="2"/>
      <c r="P91" s="2"/>
      <c r="Q91" s="139"/>
      <c r="S91" s="145"/>
    </row>
    <row r="92" spans="2:19" ht="12.75" customHeight="1" x14ac:dyDescent="0.2">
      <c r="B92" s="9"/>
      <c r="O92" s="2"/>
      <c r="P92" s="2"/>
      <c r="Q92" s="139"/>
      <c r="S92" s="145"/>
    </row>
    <row r="93" spans="2:19" ht="12.75" customHeight="1" x14ac:dyDescent="0.2">
      <c r="B93" s="9"/>
      <c r="O93" s="2"/>
      <c r="P93" s="2"/>
      <c r="Q93" s="139"/>
      <c r="S93" s="145"/>
    </row>
    <row r="94" spans="2:19" ht="12.75" customHeight="1" x14ac:dyDescent="0.2">
      <c r="B94" s="9"/>
      <c r="O94" s="2"/>
      <c r="P94" s="2"/>
      <c r="Q94" s="139"/>
      <c r="S94" s="145"/>
    </row>
    <row r="95" spans="2:19" ht="12.75" customHeight="1" x14ac:dyDescent="0.2">
      <c r="B95" s="9"/>
      <c r="O95" s="2"/>
      <c r="P95" s="2"/>
      <c r="Q95" s="139"/>
      <c r="S95" s="145"/>
    </row>
    <row r="96" spans="2:19" ht="12.75" customHeight="1" x14ac:dyDescent="0.2">
      <c r="B96" s="9"/>
      <c r="O96" s="2"/>
      <c r="P96" s="2"/>
      <c r="Q96" s="139"/>
      <c r="S96" s="145"/>
    </row>
    <row r="97" spans="2:19" ht="12.75" customHeight="1" x14ac:dyDescent="0.2">
      <c r="B97" s="9"/>
      <c r="O97" s="2"/>
      <c r="P97" s="2"/>
      <c r="Q97" s="139"/>
      <c r="S97" s="145"/>
    </row>
    <row r="98" spans="2:19" ht="12.75" customHeight="1" x14ac:dyDescent="0.2">
      <c r="B98" s="9"/>
      <c r="O98" s="2"/>
      <c r="P98" s="2"/>
      <c r="Q98" s="139"/>
      <c r="S98" s="145"/>
    </row>
    <row r="99" spans="2:19" ht="12.75" customHeight="1" x14ac:dyDescent="0.2">
      <c r="B99" s="9"/>
      <c r="O99" s="2"/>
      <c r="P99" s="2"/>
      <c r="Q99" s="139"/>
      <c r="S99" s="145"/>
    </row>
    <row r="100" spans="2:19" ht="12.75" customHeight="1" x14ac:dyDescent="0.2">
      <c r="B100" s="9"/>
      <c r="O100" s="2"/>
      <c r="P100" s="2"/>
      <c r="Q100" s="139"/>
      <c r="S100" s="145"/>
    </row>
    <row r="101" spans="2:19" ht="12.75" customHeight="1" x14ac:dyDescent="0.2">
      <c r="B101" s="9"/>
      <c r="O101" s="2"/>
      <c r="P101" s="2"/>
      <c r="Q101" s="139"/>
      <c r="S101" s="145"/>
    </row>
    <row r="102" spans="2:19" ht="12.75" customHeight="1" x14ac:dyDescent="0.2">
      <c r="B102" s="9"/>
      <c r="O102" s="2"/>
      <c r="P102" s="2"/>
      <c r="Q102" s="139"/>
      <c r="S102" s="145"/>
    </row>
    <row r="103" spans="2:19" ht="12.75" customHeight="1" x14ac:dyDescent="0.2">
      <c r="B103" s="9"/>
      <c r="O103" s="2"/>
      <c r="P103" s="2"/>
      <c r="Q103" s="139"/>
      <c r="S103" s="145"/>
    </row>
    <row r="104" spans="2:19" ht="12.75" customHeight="1" x14ac:dyDescent="0.2">
      <c r="B104" s="9"/>
      <c r="O104" s="2"/>
      <c r="P104" s="2"/>
      <c r="Q104" s="139"/>
      <c r="S104" s="145"/>
    </row>
    <row r="105" spans="2:19" ht="12.75" customHeight="1" x14ac:dyDescent="0.2">
      <c r="B105" s="9"/>
      <c r="O105" s="2"/>
      <c r="P105" s="2"/>
      <c r="Q105" s="139"/>
      <c r="S105" s="145"/>
    </row>
  </sheetData>
  <sheetProtection selectLockedCells="1" selectUnlockedCells="1"/>
  <autoFilter ref="B7:Q87" xr:uid="{00000000-0009-0000-0000-000001000000}"/>
  <mergeCells count="3">
    <mergeCell ref="B1:F1"/>
    <mergeCell ref="B3:D3"/>
    <mergeCell ref="G1:I1"/>
  </mergeCells>
  <pageMargins left="0.7" right="0.7" top="0.75" bottom="0.75" header="0.3" footer="0.3"/>
  <pageSetup paperSize="9" scale="47" firstPageNumber="0" orientation="landscape" horizontalDpi="360" verticalDpi="360" r:id="rId1"/>
  <headerFooter alignWithMargins="0">
    <oddHeader>&amp;C&amp;A</oddHeader>
    <oddFooter>&amp;CPage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workbookViewId="0">
      <selection activeCell="B8" sqref="B8"/>
    </sheetView>
  </sheetViews>
  <sheetFormatPr defaultColWidth="11.5703125" defaultRowHeight="12.95" customHeight="1" x14ac:dyDescent="0.2"/>
  <cols>
    <col min="1" max="1" width="37.85546875" customWidth="1"/>
    <col min="2" max="7" width="12.85546875" customWidth="1"/>
  </cols>
  <sheetData>
    <row r="1" spans="1:7" ht="15.6" customHeight="1" x14ac:dyDescent="0.25">
      <c r="A1" s="175" t="s">
        <v>0</v>
      </c>
      <c r="B1" s="175"/>
      <c r="C1" s="175"/>
      <c r="D1" s="175"/>
      <c r="E1" s="175"/>
      <c r="F1" s="2"/>
    </row>
    <row r="2" spans="1:7" ht="12.75" x14ac:dyDescent="0.2">
      <c r="A2" s="38"/>
      <c r="B2" s="1"/>
      <c r="C2" s="1"/>
      <c r="D2" s="1"/>
    </row>
    <row r="3" spans="1:7" ht="13.35" customHeight="1" x14ac:dyDescent="0.2">
      <c r="A3" s="173" t="s">
        <v>58</v>
      </c>
      <c r="B3" s="173"/>
      <c r="C3" s="173"/>
      <c r="D3" s="173"/>
    </row>
    <row r="4" spans="1:7" ht="12.75" x14ac:dyDescent="0.2">
      <c r="B4" t="s">
        <v>4</v>
      </c>
      <c r="C4" t="s">
        <v>5</v>
      </c>
      <c r="D4" t="s">
        <v>27</v>
      </c>
    </row>
    <row r="5" spans="1:7" ht="12.75" x14ac:dyDescent="0.2">
      <c r="A5" s="39" t="s">
        <v>28</v>
      </c>
    </row>
    <row r="6" spans="1:7" ht="12.75" x14ac:dyDescent="0.2"/>
    <row r="7" spans="1:7" ht="12.75" x14ac:dyDescent="0.2">
      <c r="A7" s="40" t="s">
        <v>43</v>
      </c>
      <c r="B7" s="41">
        <v>3234.51</v>
      </c>
      <c r="C7" s="41">
        <v>0</v>
      </c>
      <c r="D7" s="42"/>
      <c r="E7" s="43"/>
      <c r="F7" s="43"/>
      <c r="G7" s="43"/>
    </row>
    <row r="8" spans="1:7" ht="12.75" x14ac:dyDescent="0.2">
      <c r="A8" s="40" t="s">
        <v>29</v>
      </c>
      <c r="B8" s="41">
        <f>Receipts!D22</f>
        <v>5067.82</v>
      </c>
      <c r="C8" s="41">
        <f>Receipts!E22</f>
        <v>0</v>
      </c>
      <c r="D8" s="42"/>
      <c r="E8" s="43"/>
      <c r="F8" s="43"/>
      <c r="G8" s="43"/>
    </row>
    <row r="9" spans="1:7" ht="12.75" x14ac:dyDescent="0.2">
      <c r="A9" s="40" t="s">
        <v>30</v>
      </c>
      <c r="B9" s="41">
        <f>-Payments!F63</f>
        <v>-4703.24</v>
      </c>
      <c r="C9" s="41">
        <f>-Payments!G63</f>
        <v>0</v>
      </c>
      <c r="D9" s="42"/>
      <c r="E9" s="43"/>
      <c r="F9" s="43"/>
      <c r="G9" s="43"/>
    </row>
    <row r="10" spans="1:7" ht="12.75" x14ac:dyDescent="0.2">
      <c r="A10" s="39"/>
      <c r="B10" s="41"/>
      <c r="C10" s="41"/>
      <c r="D10" s="44"/>
      <c r="E10" s="43"/>
      <c r="F10" s="43"/>
      <c r="G10" s="43"/>
    </row>
    <row r="11" spans="1:7" ht="12.75" x14ac:dyDescent="0.2">
      <c r="A11" s="40" t="s">
        <v>44</v>
      </c>
      <c r="B11" s="41">
        <f>SUM(B7:B10)</f>
        <v>3599.09</v>
      </c>
      <c r="C11" s="41">
        <f>SUM(C7:C10)</f>
        <v>0</v>
      </c>
      <c r="D11" s="42"/>
      <c r="E11" s="43"/>
      <c r="F11" s="43"/>
      <c r="G11" s="43"/>
    </row>
    <row r="12" spans="1:7" ht="12.95" customHeight="1" x14ac:dyDescent="0.2">
      <c r="A12" s="45"/>
    </row>
    <row r="13" spans="1:7" ht="12.95" customHeight="1" x14ac:dyDescent="0.2">
      <c r="A13" s="45"/>
    </row>
    <row r="14" spans="1:7" ht="12.95" customHeight="1" x14ac:dyDescent="0.2">
      <c r="C14" s="46"/>
    </row>
    <row r="16" spans="1:7" ht="12.95" customHeight="1" x14ac:dyDescent="0.2">
      <c r="A16" s="45"/>
    </row>
  </sheetData>
  <sheetProtection selectLockedCells="1" selectUnlockedCells="1"/>
  <mergeCells count="2">
    <mergeCell ref="A1:E1"/>
    <mergeCell ref="A3:D3"/>
  </mergeCells>
  <pageMargins left="0.7" right="0.7" top="0.75" bottom="0.75" header="0.3" footer="0.3"/>
  <pageSetup paperSize="9" firstPageNumber="0" orientation="landscape" horizontalDpi="300" verticalDpi="30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"/>
  <sheetViews>
    <sheetView topLeftCell="A11" workbookViewId="0">
      <selection activeCell="D29" sqref="D29"/>
    </sheetView>
  </sheetViews>
  <sheetFormatPr defaultColWidth="11.5703125" defaultRowHeight="12.95" customHeight="1" x14ac:dyDescent="0.2"/>
  <cols>
    <col min="1" max="1" width="41.140625" customWidth="1"/>
    <col min="2" max="3" width="12.85546875" style="47" customWidth="1"/>
    <col min="4" max="4" width="14.85546875" customWidth="1"/>
    <col min="5" max="6" width="12.85546875" customWidth="1"/>
    <col min="8" max="19" width="19.7109375" customWidth="1"/>
    <col min="20" max="20" width="24.7109375" customWidth="1"/>
    <col min="21" max="21" width="19.140625" customWidth="1"/>
    <col min="22" max="23" width="18.7109375" bestFit="1" customWidth="1"/>
    <col min="24" max="25" width="14.140625" bestFit="1" customWidth="1"/>
    <col min="26" max="26" width="20.7109375" bestFit="1" customWidth="1"/>
    <col min="27" max="27" width="20.28515625" bestFit="1" customWidth="1"/>
    <col min="28" max="28" width="20.7109375" bestFit="1" customWidth="1"/>
    <col min="29" max="29" width="20.28515625" bestFit="1" customWidth="1"/>
    <col min="30" max="30" width="19.140625" bestFit="1" customWidth="1"/>
    <col min="31" max="31" width="18.7109375" bestFit="1" customWidth="1"/>
  </cols>
  <sheetData>
    <row r="1" spans="1:7" ht="12.75" x14ac:dyDescent="0.2">
      <c r="A1" s="48" t="s">
        <v>31</v>
      </c>
      <c r="B1" s="49"/>
      <c r="C1" s="49"/>
      <c r="D1" s="50"/>
      <c r="E1" s="50"/>
    </row>
    <row r="2" spans="1:7" ht="12.75" customHeight="1" x14ac:dyDescent="0.2">
      <c r="A2" s="48" t="s">
        <v>32</v>
      </c>
      <c r="D2" s="49" t="s">
        <v>62</v>
      </c>
      <c r="E2" s="110">
        <v>43577</v>
      </c>
      <c r="G2" t="s">
        <v>70</v>
      </c>
    </row>
    <row r="3" spans="1:7" ht="17.649999999999999" customHeight="1" x14ac:dyDescent="0.25">
      <c r="A3" s="177"/>
      <c r="B3" s="177"/>
      <c r="C3" s="177"/>
      <c r="D3" s="177"/>
      <c r="E3" s="177"/>
      <c r="F3" s="1"/>
    </row>
    <row r="4" spans="1:7" ht="17.649999999999999" customHeight="1" x14ac:dyDescent="0.25">
      <c r="A4" s="109"/>
      <c r="B4" s="114"/>
      <c r="C4" s="115"/>
      <c r="D4" s="109" t="s">
        <v>4</v>
      </c>
      <c r="E4" s="109" t="s">
        <v>5</v>
      </c>
      <c r="F4" s="1"/>
    </row>
    <row r="5" spans="1:7" ht="17.649999999999999" customHeight="1" x14ac:dyDescent="0.25">
      <c r="A5" s="111" t="s">
        <v>63</v>
      </c>
      <c r="B5" s="114"/>
      <c r="C5" s="115"/>
      <c r="D5" s="112">
        <f>Summary!B7</f>
        <v>3234.51</v>
      </c>
      <c r="E5" s="112">
        <f>Summary!C7</f>
        <v>0</v>
      </c>
      <c r="F5" s="1"/>
    </row>
    <row r="6" spans="1:7" ht="17.649999999999999" customHeight="1" x14ac:dyDescent="0.25">
      <c r="A6" s="111" t="s">
        <v>64</v>
      </c>
      <c r="B6" s="114"/>
      <c r="C6" s="115"/>
      <c r="D6" s="112">
        <f>SUMIF(Receipts!$B$8:$B$21,"&lt;Rec!$E$2",Receipts!D$8:D$21)</f>
        <v>5067.82</v>
      </c>
      <c r="E6" s="112">
        <f>SUMIF(Receipts!$B$8:$B$21,"&lt;Rec!$E$2",Receipts!E$8:E$21)</f>
        <v>0</v>
      </c>
      <c r="F6" s="1"/>
    </row>
    <row r="7" spans="1:7" ht="17.649999999999999" customHeight="1" x14ac:dyDescent="0.25">
      <c r="A7" s="111" t="s">
        <v>65</v>
      </c>
      <c r="B7" s="114"/>
      <c r="C7" s="115"/>
      <c r="D7" s="112">
        <f>-SUMIF(Payments!$B$8:$B$62,"&lt;Rec!$E$2",Payments!F$8:F$62)</f>
        <v>-4703.24</v>
      </c>
      <c r="E7" s="112">
        <f>-SUMIF(Payments!$B$9:$B$62,"&lt;Rec!$E$2",Payments!G$9:G$62)</f>
        <v>0</v>
      </c>
      <c r="F7" s="1"/>
    </row>
    <row r="8" spans="1:7" ht="18" x14ac:dyDescent="0.25">
      <c r="A8" s="116" t="s">
        <v>33</v>
      </c>
      <c r="B8" s="117"/>
      <c r="C8" s="118"/>
      <c r="D8" s="119">
        <v>3767.54</v>
      </c>
      <c r="E8" s="119">
        <f>SUM(E5:E7)</f>
        <v>0</v>
      </c>
    </row>
    <row r="9" spans="1:7" ht="12.75" customHeight="1" x14ac:dyDescent="0.2">
      <c r="A9" s="50"/>
      <c r="B9" s="114"/>
      <c r="C9" s="115"/>
      <c r="D9" s="113"/>
      <c r="E9" s="113"/>
    </row>
    <row r="10" spans="1:7" ht="18" x14ac:dyDescent="0.25">
      <c r="A10" s="128" t="s">
        <v>34</v>
      </c>
      <c r="B10" s="129"/>
      <c r="C10" s="130"/>
      <c r="D10" s="131">
        <f>SUMIF(Receipts!$J$8:$J$21,"Y",Receipts!D8:D21)</f>
        <v>0</v>
      </c>
      <c r="E10" s="131">
        <f>SUMIF(Receipts!$J$8:$J$21,"Y",Receipts!E8:E21)</f>
        <v>0</v>
      </c>
    </row>
    <row r="11" spans="1:7" ht="12.75" x14ac:dyDescent="0.2">
      <c r="A11" s="125" t="str">
        <f>IF(ISERROR(VLOOKUP("y1",Receipts!$A$8:$I$22,3,FALSE)),"",VLOOKUP("y1",Receipts!$A$8:$I$22,3,FALSE))</f>
        <v/>
      </c>
      <c r="B11" s="125" t="str">
        <f>IF(ISERROR(VLOOKUP("y1",Receipts!$A$8:$I$22,3,FALSE)),"",VLOOKUP("y1",Receipts!$A$8:$I$22,2,FALSE))</f>
        <v/>
      </c>
      <c r="C11" s="125"/>
      <c r="D11" s="127" t="str">
        <f>IF(ISERROR(VLOOKUP("y1",Receipts!$A$8:$I$22,3,FALSE)),"",VLOOKUP("y1",Receipts!$A$8:$I$22,4,FALSE))</f>
        <v/>
      </c>
      <c r="E11" s="127" t="str">
        <f>IF(ISERROR(VLOOKUP("y1",Receipts!$A$8:$I$22,3,FALSE)),"",VLOOKUP("y1",Receipts!$A$8:$I$22,5,FALSE))</f>
        <v/>
      </c>
      <c r="G11" t="s">
        <v>71</v>
      </c>
    </row>
    <row r="12" spans="1:7" ht="12.75" x14ac:dyDescent="0.2">
      <c r="A12" s="125" t="str">
        <f>IF(ISERROR(VLOOKUP("y2",Receipts!$A$8:$I$22,3,FALSE)),"",VLOOKUP("y2",Receipts!$A$8:$I$22,3,FALSE))</f>
        <v/>
      </c>
      <c r="B12" s="125" t="str">
        <f>IF(ISERROR(VLOOKUP("y2",Receipts!$A$8:$I$22,3,FALSE)),"",VLOOKUP("y2",Receipts!$A$8:$I$22,2,FALSE))</f>
        <v/>
      </c>
      <c r="C12" s="125"/>
      <c r="D12" s="127" t="str">
        <f>IF(ISERROR(VLOOKUP("y2",Receipts!$A$8:$I$22,3,FALSE)),"",VLOOKUP("y2",Receipts!$A$8:$I$22,4,FALSE))</f>
        <v/>
      </c>
      <c r="E12" s="127" t="str">
        <f>IF(ISERROR(VLOOKUP("y2",Receipts!$A$8:$I$22,3,FALSE)),"",VLOOKUP("y2",Receipts!$A$8:$I$22,5,FALSE))</f>
        <v/>
      </c>
    </row>
    <row r="13" spans="1:7" ht="12.75" x14ac:dyDescent="0.2">
      <c r="A13" s="125" t="str">
        <f>IF(ISERROR(VLOOKUP("y3",Receipts!$A$8:$I$22,3,FALSE)),"",VLOOKUP("y3",Receipts!$A$8:$I$22,3,FALSE))</f>
        <v/>
      </c>
      <c r="B13" s="125" t="str">
        <f>IF(ISERROR(VLOOKUP("y3",Receipts!$A$8:$I$22,3,FALSE)),"",VLOOKUP("y3",Receipts!$A$8:$I$22,2,FALSE))</f>
        <v/>
      </c>
      <c r="C13" s="125"/>
      <c r="D13" s="127" t="str">
        <f>IF(ISERROR(VLOOKUP("y3",Receipts!$A$8:$I$22,3,FALSE)),"",VLOOKUP("y3",Receipts!$A$8:$I$22,3,FALSE))</f>
        <v/>
      </c>
      <c r="E13" s="127" t="str">
        <f>IF(ISERROR(VLOOKUP("y3",Receipts!$A$8:$I$22,3,FALSE)),"",VLOOKUP("y3",Receipts!$A$8:$I$22,3,FALSE))</f>
        <v/>
      </c>
    </row>
    <row r="14" spans="1:7" ht="12.75" x14ac:dyDescent="0.2">
      <c r="A14" s="125" t="str">
        <f>IF(ISERROR(VLOOKUP("y4",Receipts!$A$8:$I$22,3,FALSE)),"",VLOOKUP("y4",Receipts!$A$8:$I$22,3,FALSE))</f>
        <v/>
      </c>
      <c r="B14" s="125" t="str">
        <f>IF(ISERROR(VLOOKUP("y4",Receipts!$A$8:$I$22,3,FALSE)),"",VLOOKUP("y4",Receipts!$A$8:$I$22,3,FALSE))</f>
        <v/>
      </c>
      <c r="C14" s="125"/>
      <c r="D14" s="127" t="str">
        <f>IF(ISERROR(VLOOKUP("y4",Receipts!$A$8:$I$22,3,FALSE)),"",VLOOKUP("y4",Receipts!$A$8:$I$22,3,FALSE))</f>
        <v/>
      </c>
      <c r="E14" s="127" t="str">
        <f>IF(ISERROR(VLOOKUP("y4",Receipts!$A$8:$I$22,3,FALSE)),"",VLOOKUP("y4",Receipts!$A$8:$I$22,3,FALSE))</f>
        <v/>
      </c>
    </row>
    <row r="15" spans="1:7" ht="12.75" x14ac:dyDescent="0.2">
      <c r="A15" s="125" t="str">
        <f>IF(ISERROR(VLOOKUP("y5",Receipts!$A$8:$I$22,3,FALSE)),"",VLOOKUP("y5",Receipts!$A$8:$I$22,3,FALSE))</f>
        <v/>
      </c>
      <c r="B15" s="125" t="str">
        <f>IF(ISERROR(VLOOKUP("y5",Receipts!$A$8:$I$22,3,FALSE)),"",VLOOKUP("y5",Receipts!$A$8:$I$22,3,FALSE))</f>
        <v/>
      </c>
      <c r="C15" s="125"/>
      <c r="D15" s="127" t="str">
        <f>IF(ISERROR(VLOOKUP("y5",Receipts!$A$8:$I$22,3,FALSE)),"",VLOOKUP("y5",Receipts!$A$8:$I$22,3,FALSE))</f>
        <v/>
      </c>
      <c r="E15" s="127" t="str">
        <f>IF(ISERROR(VLOOKUP("y5",Receipts!$A$8:$I$22,3,FALSE)),"",VLOOKUP("y5",Receipts!$A$8:$I$22,3,FALSE))</f>
        <v/>
      </c>
    </row>
    <row r="16" spans="1:7" ht="12.75" x14ac:dyDescent="0.2">
      <c r="A16" s="51"/>
      <c r="B16" s="51"/>
      <c r="C16" s="49"/>
      <c r="D16" s="127"/>
      <c r="E16" s="127"/>
    </row>
    <row r="17" spans="1:5" ht="18" x14ac:dyDescent="0.25">
      <c r="A17" s="132" t="s">
        <v>35</v>
      </c>
      <c r="B17" s="133"/>
      <c r="C17" s="134"/>
      <c r="D17" s="135">
        <f>SUMIF(Payments!$Q$9:$Q$62,"Y",Payments!F9:F62)</f>
        <v>0</v>
      </c>
      <c r="E17" s="135">
        <f>SUMIF(Payments!$Q$9:$Q$62,"Y",Payments!G9:G62)</f>
        <v>0</v>
      </c>
    </row>
    <row r="18" spans="1:5" ht="12.75" x14ac:dyDescent="0.2">
      <c r="A18" s="125" t="str">
        <f>IF(ISERROR(VLOOKUP("y1",Payments!$A$9:$I$290,3,FALSE)),"",VLOOKUP("y1",Payments!$A$9:$I$290,3,FALSE))</f>
        <v/>
      </c>
      <c r="B18" s="125" t="str">
        <f>IF(ISERROR(VLOOKUP("y1",Payments!$A$9:$I$290,3,FALSE)),"",VLOOKUP("y1",Payments!$A$9:$I$290,2,FALSE))</f>
        <v/>
      </c>
      <c r="C18" s="126"/>
      <c r="D18" s="127" t="str">
        <f>IF(ISERROR(VLOOKUP("y1",Payments!$A$9:$I$290,3,FALSE)),"",VLOOKUP("y1",Payments!$A$9:$I$290,6,FALSE))</f>
        <v/>
      </c>
      <c r="E18" s="127" t="str">
        <f>IF(ISERROR(VLOOKUP("y1",Payments!$A$9:$I$290,3,FALSE)),"",VLOOKUP("y1",Payments!$A$9:$I$290,7,FALSE))</f>
        <v/>
      </c>
    </row>
    <row r="19" spans="1:5" ht="12.75" x14ac:dyDescent="0.2">
      <c r="A19" s="125" t="str">
        <f>IF(ISERROR(VLOOKUP("y2",Payments!$A$9:$I$290,3,FALSE)),"",VLOOKUP("y2",Payments!$A$9:$I$290,3,FALSE))</f>
        <v/>
      </c>
      <c r="B19" s="125" t="str">
        <f>IF(ISERROR(VLOOKUP("y2",Payments!$A$9:$I$290,3,FALSE)),"",VLOOKUP("y2",Payments!$A$9:$I$290,2,FALSE))</f>
        <v/>
      </c>
      <c r="C19" s="126"/>
      <c r="D19" s="127" t="str">
        <f>IF(ISERROR(VLOOKUP("y2",Payments!$A$9:$I$290,3,FALSE)),"",VLOOKUP("y2",Payments!$A$9:$I$290,6,FALSE))</f>
        <v/>
      </c>
      <c r="E19" s="127" t="str">
        <f>IF(ISERROR(VLOOKUP("y2",Payments!$A$9:$I$290,3,FALSE)),"",VLOOKUP("y2",Payments!$A$9:$I$290,7,FALSE))</f>
        <v/>
      </c>
    </row>
    <row r="20" spans="1:5" ht="12.75" x14ac:dyDescent="0.2">
      <c r="A20" s="125" t="str">
        <f>IF(ISERROR(VLOOKUP("y3",Payments!$A$9:$I$290,3,FALSE)),"",VLOOKUP("y3",Payments!$A$9:$I$290,3,FALSE))</f>
        <v/>
      </c>
      <c r="B20" s="125" t="str">
        <f>IF(ISERROR(VLOOKUP("y3",Payments!$A$9:$I$290,3,FALSE)),"",VLOOKUP("y3",Payments!$A$9:$I$290,2,FALSE))</f>
        <v/>
      </c>
      <c r="C20" s="126"/>
      <c r="D20" s="127" t="str">
        <f>IF(ISERROR(VLOOKUP("y3",Payments!$A$9:$I$290,3,FALSE)),"",VLOOKUP("y3",Payments!$A$9:$I$290,6,FALSE))</f>
        <v/>
      </c>
      <c r="E20" s="127" t="str">
        <f>IF(ISERROR(VLOOKUP("y3",Payments!$A$9:$I$290,3,FALSE)),"",VLOOKUP("y3",Payments!$A$9:$I$290,7,FALSE))</f>
        <v/>
      </c>
    </row>
    <row r="21" spans="1:5" ht="12.75" x14ac:dyDescent="0.2">
      <c r="A21" s="125" t="str">
        <f>IF(ISERROR(VLOOKUP("y4",Payments!$A$9:$I$290,3,FALSE)),"",VLOOKUP("y4",Payments!$A$9:$I$290,3,FALSE))</f>
        <v/>
      </c>
      <c r="B21" s="125" t="str">
        <f>IF(ISERROR(VLOOKUP("y4",Payments!$A$9:$I$290,3,FALSE)),"",VLOOKUP("y4",Payments!$A$9:$I$290,2,FALSE))</f>
        <v/>
      </c>
      <c r="C21" s="126"/>
      <c r="D21" s="127" t="str">
        <f>IF(ISERROR(VLOOKUP("y4",Payments!$A$9:$I$290,3,FALSE)),"",VLOOKUP("y4",Payments!$A$9:$I$290,6,FALSE))</f>
        <v/>
      </c>
      <c r="E21" s="127" t="str">
        <f>IF(ISERROR(VLOOKUP("y4",Payments!$A$9:$I$290,3,FALSE)),"",VLOOKUP("y4",Payments!$A$9:$I$290,7,FALSE))</f>
        <v/>
      </c>
    </row>
    <row r="22" spans="1:5" ht="12.75" x14ac:dyDescent="0.2">
      <c r="A22" s="125" t="str">
        <f>IF(ISERROR(VLOOKUP("y5",Payments!$A$9:$I$290,3,FALSE)),"",VLOOKUP("y5",Payments!$A$9:$I$290,3,FALSE))</f>
        <v/>
      </c>
      <c r="B22" s="125" t="str">
        <f>IF(ISERROR(VLOOKUP("y5",Payments!$A$9:$I$290,3,FALSE)),"",VLOOKUP("y5",Payments!$A$9:$I$290,2,FALSE))</f>
        <v/>
      </c>
      <c r="C22" s="126"/>
      <c r="D22" s="127" t="str">
        <f>IF(ISERROR(VLOOKUP("y5",Payments!$A$9:$I$290,3,FALSE)),"",VLOOKUP("y5",Payments!$A$9:$I$290,6,FALSE))</f>
        <v/>
      </c>
      <c r="E22" s="127" t="str">
        <f>IF(ISERROR(VLOOKUP("y5",Payments!$A$9:$I$290,3,FALSE)),"",VLOOKUP("y5",Payments!$A$9:$I$290,7,FALSE))</f>
        <v/>
      </c>
    </row>
    <row r="23" spans="1:5" ht="12.75" x14ac:dyDescent="0.2">
      <c r="A23" s="125" t="str">
        <f>IF(ISERROR(VLOOKUP("y6",Payments!$A$9:$I$290,3,FALSE)),"",VLOOKUP("y6",Payments!$A$9:$I$290,3,FALSE))</f>
        <v/>
      </c>
      <c r="B23" s="125" t="str">
        <f>IF(ISERROR(VLOOKUP("y6",Payments!$A$9:$I$290,3,FALSE)),"",VLOOKUP("y6",Payments!$A$9:$I$290,2,FALSE))</f>
        <v/>
      </c>
      <c r="C23" s="126"/>
      <c r="D23" s="127" t="str">
        <f>IF(ISERROR(VLOOKUP("y6",Payments!$A$9:$I$290,3,FALSE)),"",VLOOKUP("y6",Payments!$A$9:$I$290,6,FALSE))</f>
        <v/>
      </c>
      <c r="E23" s="127" t="str">
        <f>IF(ISERROR(VLOOKUP("y6",Payments!$A$9:$I$290,3,FALSE)),"",VLOOKUP("y6",Payments!$A$9:$I$290,7,FALSE))</f>
        <v/>
      </c>
    </row>
    <row r="24" spans="1:5" ht="12.75" x14ac:dyDescent="0.2">
      <c r="A24" s="125" t="str">
        <f>IF(ISERROR(VLOOKUP("y7",Payments!$A$9:$I$290,3,FALSE)),"",VLOOKUP("y7",Payments!$A$9:$I$290,3,FALSE))</f>
        <v/>
      </c>
      <c r="B24" s="125" t="str">
        <f>IF(ISERROR(VLOOKUP("y7",Payments!$A$9:$I$290,3,FALSE)),"",VLOOKUP("y7",Payments!$A$9:$I$290,2,FALSE))</f>
        <v/>
      </c>
      <c r="C24" s="126"/>
      <c r="D24" s="127" t="str">
        <f>IF(ISERROR(VLOOKUP("y7",Payments!$A$9:$I$290,3,FALSE)),"",VLOOKUP("y7",Payments!$A$9:$I$290,6,FALSE))</f>
        <v/>
      </c>
      <c r="E24" s="127" t="str">
        <f>IF(ISERROR(VLOOKUP("y7",Payments!$A$9:$I$290,3,FALSE)),"",VLOOKUP("y7",Payments!$A$9:$I$290,7,FALSE))</f>
        <v/>
      </c>
    </row>
    <row r="25" spans="1:5" ht="12.75" x14ac:dyDescent="0.2">
      <c r="A25" s="125" t="str">
        <f>IF(ISERROR(VLOOKUP("y8",Payments!$A$9:$I$290,3,FALSE)),"",VLOOKUP("y8",Payments!$A$9:$I$290,3,FALSE))</f>
        <v/>
      </c>
      <c r="B25" s="125" t="str">
        <f>IF(ISERROR(VLOOKUP("y8",Payments!$A$9:$I$290,3,FALSE)),"",VLOOKUP("y8",Payments!$A$9:$I$290,2,FALSE))</f>
        <v/>
      </c>
      <c r="C25" s="126"/>
      <c r="D25" s="127" t="str">
        <f>IF(ISERROR(VLOOKUP("y8",Payments!$A$9:$I$290,3,FALSE)),"",VLOOKUP("y8",Payments!$A$9:$I$290,6,FALSE))</f>
        <v/>
      </c>
      <c r="E25" s="127" t="str">
        <f>IF(ISERROR(VLOOKUP("y8",Payments!$A$9:$I$290,3,FALSE)),"",VLOOKUP("y8",Payments!$A$9:$I$290,7,FALSE))</f>
        <v/>
      </c>
    </row>
    <row r="26" spans="1:5" ht="12.75" customHeight="1" x14ac:dyDescent="0.2">
      <c r="A26" s="125" t="str">
        <f>IF(ISERROR(VLOOKUP("y9",Payments!$A$9:$I$290,3,FALSE)),"",VLOOKUP("y9",Payments!$A$9:$I$290,3,FALSE))</f>
        <v/>
      </c>
      <c r="B26" s="125" t="str">
        <f>IF(ISERROR(VLOOKUP("y9",Payments!$A$9:$I$290,3,FALSE)),"",VLOOKUP("y9",Payments!$A$9:$I$290,2,FALSE))</f>
        <v/>
      </c>
      <c r="C26" s="126"/>
      <c r="D26" s="127" t="str">
        <f>IF(ISERROR(VLOOKUP("y9",Payments!$A$9:$I$290,3,FALSE)),"",VLOOKUP("y9",Payments!$A$9:$I$290,6,FALSE))</f>
        <v/>
      </c>
      <c r="E26" s="127" t="str">
        <f>IF(ISERROR(VLOOKUP("y9",Payments!$A$9:$I$290,3,FALSE)),"",VLOOKUP("y9",Payments!$A$9:$I$290,7,FALSE))</f>
        <v/>
      </c>
    </row>
    <row r="27" spans="1:5" ht="12.75" x14ac:dyDescent="0.2">
      <c r="A27" s="125" t="str">
        <f>IF(ISERROR(VLOOKUP("y10",Payments!$A$9:$I$290,3,FALSE)),"",VLOOKUP("y10",Payments!$A$9:$I$290,3,FALSE))</f>
        <v/>
      </c>
      <c r="B27" s="125" t="str">
        <f>IF(ISERROR(VLOOKUP("y10",Payments!$A$9:$I$290,3,FALSE)),"",VLOOKUP("y10",Payments!$A$9:$I$290,2,FALSE))</f>
        <v/>
      </c>
      <c r="C27" s="126"/>
      <c r="D27" s="127" t="str">
        <f>IF(ISERROR(VLOOKUP("y10",Payments!$A$9:$I$290,3,FALSE)),"",VLOOKUP("y10",Payments!$A$9:$I$290,6,FALSE))</f>
        <v/>
      </c>
      <c r="E27" s="127" t="str">
        <f>IF(ISERROR(VLOOKUP("y10",Payments!$A$9:$I$290,3,FALSE)),"",VLOOKUP("y10",Payments!$A$9:$I$290,7,FALSE))</f>
        <v/>
      </c>
    </row>
    <row r="28" spans="1:5" ht="12.75" x14ac:dyDescent="0.2">
      <c r="A28" s="125"/>
      <c r="B28" s="125"/>
      <c r="C28" s="126"/>
      <c r="D28" s="127"/>
      <c r="E28" s="127"/>
    </row>
    <row r="29" spans="1:5" ht="18" x14ac:dyDescent="0.25">
      <c r="A29" s="136" t="s">
        <v>36</v>
      </c>
      <c r="B29" s="133"/>
      <c r="C29" s="134"/>
      <c r="D29" s="137">
        <v>3599.09</v>
      </c>
      <c r="E29" s="137">
        <f>E8-E10+E17</f>
        <v>0</v>
      </c>
    </row>
    <row r="30" spans="1:5" ht="12.75" x14ac:dyDescent="0.2">
      <c r="A30" s="50"/>
      <c r="B30" s="51"/>
      <c r="C30" s="49"/>
      <c r="D30" s="49"/>
      <c r="E30" s="50"/>
    </row>
    <row r="31" spans="1:5" ht="12.75" x14ac:dyDescent="0.2">
      <c r="A31" s="50" t="s">
        <v>37</v>
      </c>
      <c r="B31" s="49"/>
      <c r="C31" s="49"/>
      <c r="D31" s="49">
        <v>3599.09</v>
      </c>
      <c r="E31" s="50"/>
    </row>
    <row r="32" spans="1:5" ht="12.75" x14ac:dyDescent="0.2">
      <c r="A32" s="50"/>
      <c r="B32" s="49"/>
      <c r="C32" s="49"/>
      <c r="D32" s="49"/>
      <c r="E32" s="50"/>
    </row>
    <row r="33" spans="1:5" ht="12.75" x14ac:dyDescent="0.2">
      <c r="A33" s="50" t="s">
        <v>38</v>
      </c>
      <c r="B33" s="49"/>
      <c r="C33" s="49"/>
      <c r="D33" s="49">
        <f>D29-D31</f>
        <v>0</v>
      </c>
      <c r="E33" s="49">
        <f>E29-E31</f>
        <v>0</v>
      </c>
    </row>
    <row r="34" spans="1:5" ht="12.95" customHeight="1" x14ac:dyDescent="0.2">
      <c r="A34" s="50"/>
      <c r="B34" s="49"/>
      <c r="C34" s="49"/>
      <c r="D34" s="49"/>
      <c r="E34" s="50"/>
    </row>
    <row r="35" spans="1:5" ht="12.95" customHeight="1" x14ac:dyDescent="0.2">
      <c r="A35" s="50" t="s">
        <v>39</v>
      </c>
      <c r="B35" s="52"/>
      <c r="C35" s="49"/>
      <c r="D35" s="50"/>
      <c r="E35" s="50"/>
    </row>
    <row r="36" spans="1:5" ht="12.95" customHeight="1" x14ac:dyDescent="0.2">
      <c r="A36" s="50"/>
      <c r="B36" s="49"/>
      <c r="C36" s="49"/>
      <c r="D36" s="50"/>
      <c r="E36" s="50"/>
    </row>
  </sheetData>
  <sheetProtection selectLockedCells="1" selectUnlockedCells="1"/>
  <mergeCells count="1">
    <mergeCell ref="A3:E3"/>
  </mergeCells>
  <pageMargins left="0.7" right="0.7" top="0.75" bottom="0.75" header="0.3" footer="0.3"/>
  <pageSetup paperSize="9" firstPageNumber="0" orientation="landscape" horizontalDpi="360" verticalDpi="360" r:id="rId1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Receipts</vt:lpstr>
      <vt:lpstr>Payments</vt:lpstr>
      <vt:lpstr>Summary</vt:lpstr>
      <vt:lpstr>Rec</vt:lpstr>
      <vt:lpstr>Payments!__xlnm._FilterDatabase</vt:lpstr>
      <vt:lpstr>__xlnm._FilterDatabase_1</vt:lpstr>
      <vt:lpstr>Payments!__xlnm.Print_Area</vt:lpstr>
      <vt:lpstr>Rec!__xlnm.Print_Area</vt:lpstr>
      <vt:lpstr>Receipts!__xlnm.Print_Area</vt:lpstr>
      <vt:lpstr>Summary!__xlnm.Print_Area</vt:lpstr>
      <vt:lpstr>Payments!Print_Area</vt:lpstr>
      <vt:lpstr>Rec!Print_Area</vt:lpstr>
      <vt:lpstr>Receipts!Print_Area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Alton</dc:creator>
  <cp:lastModifiedBy>chris</cp:lastModifiedBy>
  <cp:lastPrinted>2019-04-29T19:13:21Z</cp:lastPrinted>
  <dcterms:created xsi:type="dcterms:W3CDTF">2017-08-20T20:46:08Z</dcterms:created>
  <dcterms:modified xsi:type="dcterms:W3CDTF">2019-04-29T19:55:48Z</dcterms:modified>
</cp:coreProperties>
</file>