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hris\Desktop\Audit 2022 23\"/>
    </mc:Choice>
  </mc:AlternateContent>
  <xr:revisionPtr revIDLastSave="0" documentId="8_{27B6F311-CBD7-4220-8859-955EBB4519D7}" xr6:coauthVersionLast="47" xr6:coauthVersionMax="47" xr10:uidLastSave="{00000000-0000-0000-0000-000000000000}"/>
  <bookViews>
    <workbookView xWindow="-120" yWindow="-120" windowWidth="20730" windowHeight="11160" tabRatio="585" activeTab="1" xr2:uid="{00000000-000D-0000-FFFF-FFFF00000000}"/>
  </bookViews>
  <sheets>
    <sheet name="Receipts" sheetId="1" r:id="rId1"/>
    <sheet name="Payments" sheetId="2" r:id="rId2"/>
    <sheet name="Summary" sheetId="3" r:id="rId3"/>
    <sheet name="Rec" sheetId="4" r:id="rId4"/>
  </sheets>
  <definedNames>
    <definedName name="__xlnm._FilterDatabase" localSheetId="1">Payments!$B$7:$R$96</definedName>
    <definedName name="__xlnm._FilterDatabase_1">Payments!$B$7:$R$96</definedName>
    <definedName name="__xlnm.Print_Area" localSheetId="1">Payments!$B$1:$W$72</definedName>
    <definedName name="__xlnm.Print_Area" localSheetId="3">Rec!$A$1:$E$36</definedName>
    <definedName name="__xlnm.Print_Area" localSheetId="0">Receipts!$B$1:$M$33</definedName>
    <definedName name="__xlnm.Print_Area" localSheetId="2">Summary!$A$1:$E$12</definedName>
    <definedName name="_xlnm._FilterDatabase" localSheetId="1" hidden="1">Payments!$B$7:$R$96</definedName>
    <definedName name="_xlnm.Print_Area" localSheetId="1">Payments!$B$1:$W$72</definedName>
    <definedName name="_xlnm.Print_Area" localSheetId="3">Rec!$A$1:$E$36</definedName>
    <definedName name="_xlnm.Print_Area" localSheetId="0">Receipts!$B$1:$M$33</definedName>
    <definedName name="_xlnm.Print_Area" localSheetId="2">Summary!$A$1:$E$12</definedName>
  </definedNames>
  <calcPr calcId="181029"/>
</workbook>
</file>

<file path=xl/calcChain.xml><?xml version="1.0" encoding="utf-8"?>
<calcChain xmlns="http://schemas.openxmlformats.org/spreadsheetml/2006/main">
  <c r="N72" i="2" l="1"/>
  <c r="H36" i="1"/>
  <c r="A42" i="1"/>
  <c r="A59" i="2" l="1"/>
  <c r="D6" i="4"/>
  <c r="G36" i="1"/>
  <c r="D36" i="1"/>
  <c r="D7" i="4" l="1"/>
  <c r="P72" i="2" l="1"/>
  <c r="O72" i="2"/>
  <c r="M72" i="2"/>
  <c r="L72" i="2"/>
  <c r="H72" i="2"/>
  <c r="F72" i="2"/>
  <c r="B9" i="3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R69" i="2"/>
  <c r="R64" i="2"/>
  <c r="R65" i="2"/>
  <c r="R66" i="2"/>
  <c r="R67" i="2"/>
  <c r="R68" i="2"/>
  <c r="M42" i="1" l="1"/>
  <c r="D17" i="4"/>
  <c r="G72" i="2"/>
  <c r="D5" i="4"/>
  <c r="A17" i="1" l="1"/>
  <c r="A18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9" i="1"/>
  <c r="A46" i="2"/>
  <c r="A35" i="1"/>
  <c r="A16" i="1"/>
  <c r="M10" i="1"/>
  <c r="A10" i="1" s="1"/>
  <c r="E7" i="4"/>
  <c r="E6" i="4"/>
  <c r="D8" i="4"/>
  <c r="E5" i="4"/>
  <c r="E36" i="1"/>
  <c r="F36" i="1"/>
  <c r="B8" i="3"/>
  <c r="B11" i="3" s="1"/>
  <c r="A71" i="2" l="1"/>
  <c r="A45" i="2"/>
  <c r="E17" i="4"/>
  <c r="E10" i="4"/>
  <c r="T25" i="2"/>
  <c r="A25" i="2" s="1"/>
  <c r="T23" i="2"/>
  <c r="A23" i="2" s="1"/>
  <c r="T21" i="2"/>
  <c r="A21" i="2" s="1"/>
  <c r="T19" i="2"/>
  <c r="A19" i="2" s="1"/>
  <c r="T17" i="2"/>
  <c r="A17" i="2" s="1"/>
  <c r="T70" i="2"/>
  <c r="A70" i="2" s="1"/>
  <c r="T68" i="2"/>
  <c r="A68" i="2" s="1"/>
  <c r="T66" i="2"/>
  <c r="A66" i="2" s="1"/>
  <c r="T64" i="2"/>
  <c r="A64" i="2" s="1"/>
  <c r="T62" i="2"/>
  <c r="A62" i="2" s="1"/>
  <c r="T60" i="2"/>
  <c r="A60" i="2" s="1"/>
  <c r="T58" i="2"/>
  <c r="A58" i="2" s="1"/>
  <c r="T56" i="2"/>
  <c r="A56" i="2" s="1"/>
  <c r="T54" i="2"/>
  <c r="A54" i="2" s="1"/>
  <c r="T52" i="2"/>
  <c r="A52" i="2" s="1"/>
  <c r="T50" i="2"/>
  <c r="A50" i="2" s="1"/>
  <c r="T48" i="2"/>
  <c r="A48" i="2" s="1"/>
  <c r="T46" i="2"/>
  <c r="T44" i="2"/>
  <c r="A44" i="2" s="1"/>
  <c r="T42" i="2"/>
  <c r="A42" i="2" s="1"/>
  <c r="T40" i="2"/>
  <c r="A40" i="2" s="1"/>
  <c r="T36" i="2"/>
  <c r="A36" i="2" s="1"/>
  <c r="T34" i="2"/>
  <c r="A34" i="2" s="1"/>
  <c r="T32" i="2"/>
  <c r="A32" i="2" s="1"/>
  <c r="T30" i="2"/>
  <c r="A30" i="2" s="1"/>
  <c r="T28" i="2"/>
  <c r="A28" i="2" s="1"/>
  <c r="T26" i="2"/>
  <c r="A26" i="2" s="1"/>
  <c r="M29" i="1"/>
  <c r="M25" i="1"/>
  <c r="M21" i="1"/>
  <c r="M18" i="1"/>
  <c r="T16" i="2"/>
  <c r="A16" i="2" s="1"/>
  <c r="T24" i="2"/>
  <c r="A24" i="2" s="1"/>
  <c r="T22" i="2"/>
  <c r="A22" i="2" s="1"/>
  <c r="T20" i="2"/>
  <c r="A20" i="2" s="1"/>
  <c r="T18" i="2"/>
  <c r="A18" i="2" s="1"/>
  <c r="T71" i="2"/>
  <c r="T69" i="2"/>
  <c r="A69" i="2" s="1"/>
  <c r="T67" i="2"/>
  <c r="A67" i="2" s="1"/>
  <c r="T65" i="2"/>
  <c r="A65" i="2" s="1"/>
  <c r="T63" i="2"/>
  <c r="A63" i="2" s="1"/>
  <c r="T61" i="2"/>
  <c r="A61" i="2" s="1"/>
  <c r="T59" i="2"/>
  <c r="T57" i="2"/>
  <c r="A57" i="2" s="1"/>
  <c r="T55" i="2"/>
  <c r="A55" i="2" s="1"/>
  <c r="T53" i="2"/>
  <c r="A53" i="2" s="1"/>
  <c r="T51" i="2"/>
  <c r="A51" i="2" s="1"/>
  <c r="T49" i="2"/>
  <c r="A49" i="2" s="1"/>
  <c r="T47" i="2"/>
  <c r="A47" i="2" s="1"/>
  <c r="T45" i="2"/>
  <c r="T43" i="2"/>
  <c r="A43" i="2" s="1"/>
  <c r="T41" i="2"/>
  <c r="A41" i="2" s="1"/>
  <c r="T39" i="2"/>
  <c r="A39" i="2" s="1"/>
  <c r="T35" i="2"/>
  <c r="A35" i="2" s="1"/>
  <c r="T33" i="2"/>
  <c r="A33" i="2" s="1"/>
  <c r="T31" i="2"/>
  <c r="A31" i="2" s="1"/>
  <c r="T29" i="2"/>
  <c r="A29" i="2" s="1"/>
  <c r="T27" i="2"/>
  <c r="A27" i="2" s="1"/>
  <c r="M28" i="1"/>
  <c r="M24" i="1"/>
  <c r="M20" i="1"/>
  <c r="M27" i="1"/>
  <c r="M23" i="1"/>
  <c r="M19" i="1"/>
  <c r="M30" i="1"/>
  <c r="M26" i="1"/>
  <c r="M22" i="1"/>
  <c r="D10" i="4"/>
  <c r="M32" i="1"/>
  <c r="M16" i="1"/>
  <c r="M35" i="1"/>
  <c r="M31" i="1"/>
  <c r="M15" i="1"/>
  <c r="A15" i="1" s="1"/>
  <c r="M12" i="1"/>
  <c r="A12" i="1" s="1"/>
  <c r="M34" i="1"/>
  <c r="M14" i="1"/>
  <c r="A14" i="1" s="1"/>
  <c r="M33" i="1"/>
  <c r="M17" i="1"/>
  <c r="M13" i="1"/>
  <c r="A13" i="1" s="1"/>
  <c r="M11" i="1"/>
  <c r="A11" i="1" s="1"/>
  <c r="E8" i="4"/>
  <c r="D29" i="4" l="1"/>
  <c r="D33" i="4" s="1"/>
  <c r="A18" i="4"/>
  <c r="D27" i="4"/>
  <c r="A27" i="4"/>
  <c r="D26" i="4"/>
  <c r="A26" i="4"/>
  <c r="D25" i="4"/>
  <c r="A25" i="4"/>
  <c r="D24" i="4"/>
  <c r="A24" i="4"/>
  <c r="D23" i="4"/>
  <c r="A23" i="4"/>
  <c r="D22" i="4"/>
  <c r="A22" i="4"/>
  <c r="D21" i="4"/>
  <c r="A21" i="4"/>
  <c r="D20" i="4"/>
  <c r="A20" i="4"/>
  <c r="D19" i="4"/>
  <c r="A19" i="4"/>
  <c r="D18" i="4"/>
  <c r="E27" i="4"/>
  <c r="B27" i="4"/>
  <c r="E26" i="4"/>
  <c r="B26" i="4"/>
  <c r="E25" i="4"/>
  <c r="B25" i="4"/>
  <c r="E24" i="4"/>
  <c r="B24" i="4"/>
  <c r="E23" i="4"/>
  <c r="B23" i="4"/>
  <c r="E22" i="4"/>
  <c r="B22" i="4"/>
  <c r="E21" i="4"/>
  <c r="B21" i="4"/>
  <c r="E20" i="4"/>
  <c r="B20" i="4"/>
  <c r="E19" i="4"/>
  <c r="B19" i="4"/>
  <c r="E18" i="4"/>
  <c r="B18" i="4"/>
  <c r="E29" i="4"/>
  <c r="E33" i="4" s="1"/>
  <c r="B13" i="4"/>
  <c r="D11" i="4"/>
  <c r="A11" i="4"/>
  <c r="B11" i="4"/>
  <c r="E11" i="4"/>
  <c r="E12" i="4"/>
  <c r="E14" i="4"/>
  <c r="D14" i="4"/>
  <c r="A14" i="4"/>
  <c r="D12" i="4"/>
  <c r="A13" i="4"/>
  <c r="E13" i="4"/>
  <c r="D13" i="4"/>
  <c r="B15" i="4"/>
  <c r="A12" i="4"/>
  <c r="B12" i="4"/>
  <c r="B14" i="4"/>
  <c r="E15" i="4"/>
  <c r="D15" i="4"/>
  <c r="A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J and the count number in column 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Q and the count number in column S</t>
        </r>
      </text>
    </comment>
    <comment ref="R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marker used the transaction (cheque) date and the cleared date to assess whether the cheque wass outstanding at the date the reconciliation is done</t>
        </r>
      </text>
    </comment>
  </commentList>
</comments>
</file>

<file path=xl/sharedStrings.xml><?xml version="1.0" encoding="utf-8"?>
<sst xmlns="http://schemas.openxmlformats.org/spreadsheetml/2006/main" count="553" uniqueCount="194">
  <si>
    <t xml:space="preserve">Buckland Tout Saints Parish Council </t>
  </si>
  <si>
    <t>RECEIPTS</t>
  </si>
  <si>
    <t>Date</t>
  </si>
  <si>
    <t>Name</t>
  </si>
  <si>
    <t>Bank</t>
  </si>
  <si>
    <t>Cash</t>
  </si>
  <si>
    <t>Precept</t>
  </si>
  <si>
    <t>Other</t>
  </si>
  <si>
    <t xml:space="preserve"> </t>
  </si>
  <si>
    <t>TOTAL</t>
  </si>
  <si>
    <t>PAYMENTS</t>
  </si>
  <si>
    <t>Minuted</t>
  </si>
  <si>
    <t>Cheque/cash</t>
  </si>
  <si>
    <t>Reason</t>
  </si>
  <si>
    <t>Vat</t>
  </si>
  <si>
    <t>Number</t>
  </si>
  <si>
    <t>Staff</t>
  </si>
  <si>
    <t>S137</t>
  </si>
  <si>
    <t>Asset</t>
  </si>
  <si>
    <t>from Payments</t>
  </si>
  <si>
    <t>PAYE</t>
  </si>
  <si>
    <t>Net</t>
  </si>
  <si>
    <t>PAYE per HMRC</t>
  </si>
  <si>
    <t>Net per paye system</t>
  </si>
  <si>
    <t>Difference to net</t>
  </si>
  <si>
    <t>gross up Net</t>
  </si>
  <si>
    <t>derived annual Gross</t>
  </si>
  <si>
    <t>Total</t>
  </si>
  <si>
    <t xml:space="preserve">Balance </t>
  </si>
  <si>
    <t>Receipts (Sheet1)</t>
  </si>
  <si>
    <t>Payments (Sheet 2)</t>
  </si>
  <si>
    <t>Buckland Tout Saints Parish Council</t>
  </si>
  <si>
    <t>Bank reconciliation</t>
  </si>
  <si>
    <t>Balance per cash book</t>
  </si>
  <si>
    <t>Outstanding Lodgements</t>
  </si>
  <si>
    <t>Outstanding cheques</t>
  </si>
  <si>
    <t>Adjusted total</t>
  </si>
  <si>
    <t>Balance per Bank</t>
  </si>
  <si>
    <t>Difference</t>
  </si>
  <si>
    <t>telephone balance</t>
  </si>
  <si>
    <t>Date received</t>
  </si>
  <si>
    <t>Date cleared on Bank Statement</t>
  </si>
  <si>
    <t>Date of cheque</t>
  </si>
  <si>
    <t>as at</t>
  </si>
  <si>
    <t>Opening balance</t>
  </si>
  <si>
    <t>Receipts</t>
  </si>
  <si>
    <t xml:space="preserve">Payments </t>
  </si>
  <si>
    <t>helen, these dates need to be entered from bank statement</t>
  </si>
  <si>
    <t>Outstanding</t>
  </si>
  <si>
    <t>?</t>
  </si>
  <si>
    <t>count of outstanding</t>
  </si>
  <si>
    <t>this is the date for the reconciliation</t>
  </si>
  <si>
    <t>these rows will automatically populate based on the date selected for the reconciliation in E2</t>
  </si>
  <si>
    <t>Helen, these dates need to be entered from bank statement</t>
  </si>
  <si>
    <t>Code</t>
  </si>
  <si>
    <t>Total/Total.9.c</t>
  </si>
  <si>
    <t>These rows will calculate automatically, do not change them</t>
  </si>
  <si>
    <t>This is the ONLY row which needs to be manually changed each month</t>
  </si>
  <si>
    <t>N</t>
  </si>
  <si>
    <t>HMRC</t>
  </si>
  <si>
    <t>IB</t>
  </si>
  <si>
    <t>Salary - April</t>
  </si>
  <si>
    <t>H.Hamilton</t>
  </si>
  <si>
    <t>Brought forward from 5th April 2021</t>
  </si>
  <si>
    <t>Balance on April 5th 2022?</t>
  </si>
  <si>
    <t xml:space="preserve">N </t>
  </si>
  <si>
    <t>1st April 2022 - 31st March 2023</t>
  </si>
  <si>
    <t>08.04.22</t>
  </si>
  <si>
    <t>Locality fund, R. Foss, Jubilee celebrations</t>
  </si>
  <si>
    <t>14.04.22</t>
  </si>
  <si>
    <t>1st Precept - SHDC</t>
  </si>
  <si>
    <t>12.05.22</t>
  </si>
  <si>
    <t>Donations for DAA from APM</t>
  </si>
  <si>
    <t>26.04.22</t>
  </si>
  <si>
    <t>PAYE - April</t>
  </si>
  <si>
    <t>O.Jenkinson</t>
  </si>
  <si>
    <t xml:space="preserve">Audit </t>
  </si>
  <si>
    <t>22/13.3</t>
  </si>
  <si>
    <t>21.05.22</t>
  </si>
  <si>
    <t xml:space="preserve">Zurich Insurance </t>
  </si>
  <si>
    <t>Annual renewal</t>
  </si>
  <si>
    <t>17.05.22</t>
  </si>
  <si>
    <t>Salary - May</t>
  </si>
  <si>
    <t>PAYE - May</t>
  </si>
  <si>
    <t>D. Jones</t>
  </si>
  <si>
    <t>Refund - jubilee bunting/flags</t>
  </si>
  <si>
    <t>Refund - jubilee banquet roll</t>
  </si>
  <si>
    <t>M. Moore</t>
  </si>
  <si>
    <t>Refund - 4 x tables</t>
  </si>
  <si>
    <t>D.Jones</t>
  </si>
  <si>
    <t xml:space="preserve">Refund - jubilee crafts </t>
  </si>
  <si>
    <t>07.06.22</t>
  </si>
  <si>
    <t>Locality fund, R Gilbert, Jubilee celebrations</t>
  </si>
  <si>
    <t>15.06.22</t>
  </si>
  <si>
    <t>Locality fund, R.Foss, tables</t>
  </si>
  <si>
    <t>Refund - jubilee celebrations</t>
  </si>
  <si>
    <t>S145</t>
  </si>
  <si>
    <t>Anne Brunner-Ellis</t>
  </si>
  <si>
    <t xml:space="preserve">Diana Jones </t>
  </si>
  <si>
    <t xml:space="preserve">IB </t>
  </si>
  <si>
    <t>Refund - jubilee activities</t>
  </si>
  <si>
    <t>14.06.22</t>
  </si>
  <si>
    <t>Kim Holland</t>
  </si>
  <si>
    <t>Ann Williams</t>
  </si>
  <si>
    <t>Maggie Smith</t>
  </si>
  <si>
    <t>Madeline Moore</t>
  </si>
  <si>
    <t>Ruth Fretton</t>
  </si>
  <si>
    <t>Jane Harrison</t>
  </si>
  <si>
    <t>17.06.22</t>
  </si>
  <si>
    <t>09.06.22</t>
  </si>
  <si>
    <t>03.05.22</t>
  </si>
  <si>
    <t>24.05.22</t>
  </si>
  <si>
    <t>Stamps for jubilee - refund</t>
  </si>
  <si>
    <t>DALC</t>
  </si>
  <si>
    <t>23.06.22</t>
  </si>
  <si>
    <t>PAYE - June</t>
  </si>
  <si>
    <t>Salary - June</t>
  </si>
  <si>
    <t>BTS PCC</t>
  </si>
  <si>
    <t>Grass cutting</t>
  </si>
  <si>
    <t>30.06.22</t>
  </si>
  <si>
    <t>Refund of money owed in error from June salary (paid gross rather than net)</t>
  </si>
  <si>
    <t>12.07.22</t>
  </si>
  <si>
    <t>DAAT</t>
  </si>
  <si>
    <t>Donation from APM</t>
  </si>
  <si>
    <t>28.07.22</t>
  </si>
  <si>
    <t>Salary - July</t>
  </si>
  <si>
    <t>HRMC</t>
  </si>
  <si>
    <t>PAYE - July</t>
  </si>
  <si>
    <t>23.08.22</t>
  </si>
  <si>
    <t>VAT refund</t>
  </si>
  <si>
    <t>31.08.22</t>
  </si>
  <si>
    <t>Salary - August</t>
  </si>
  <si>
    <t>PAYE - August</t>
  </si>
  <si>
    <t>16.09.22</t>
  </si>
  <si>
    <t xml:space="preserve">2nd Precept - SHDC </t>
  </si>
  <si>
    <t>28.09.22</t>
  </si>
  <si>
    <t>06.10.22</t>
  </si>
  <si>
    <t>Imperative Training</t>
  </si>
  <si>
    <t>Replacement defibrilator pads</t>
  </si>
  <si>
    <t>H. Hamilton</t>
  </si>
  <si>
    <t>Salary - September</t>
  </si>
  <si>
    <t>PAYE - September</t>
  </si>
  <si>
    <t>19.07.22</t>
  </si>
  <si>
    <t>18.10.22</t>
  </si>
  <si>
    <t>22/21.6.a</t>
  </si>
  <si>
    <t>22/21.6.b</t>
  </si>
  <si>
    <t>22/17.6.c</t>
  </si>
  <si>
    <t>31.10.22</t>
  </si>
  <si>
    <t>Salary - October</t>
  </si>
  <si>
    <t>PAYE - October</t>
  </si>
  <si>
    <t>22/24.5.c</t>
  </si>
  <si>
    <t>22/24.5.a</t>
  </si>
  <si>
    <t>22/24.5.b</t>
  </si>
  <si>
    <t>22.11.22</t>
  </si>
  <si>
    <t>PAYE - November</t>
  </si>
  <si>
    <t>Salary - November</t>
  </si>
  <si>
    <t>ActionWest</t>
  </si>
  <si>
    <t>Laptop repair / hard drive</t>
  </si>
  <si>
    <t>St Peter's PCC</t>
  </si>
  <si>
    <t>Hire of Church March-Nov 2022</t>
  </si>
  <si>
    <t>30.11.22</t>
  </si>
  <si>
    <t>23.12.22</t>
  </si>
  <si>
    <t>Land Registry</t>
  </si>
  <si>
    <t>Land Registry search</t>
  </si>
  <si>
    <t>Salary - December</t>
  </si>
  <si>
    <t>PAYE - December</t>
  </si>
  <si>
    <t>NB</t>
  </si>
  <si>
    <t>30.01.23</t>
  </si>
  <si>
    <t xml:space="preserve">O. Jones </t>
  </si>
  <si>
    <t>Website Hosting</t>
  </si>
  <si>
    <t>Website Update</t>
  </si>
  <si>
    <t>Salary - January</t>
  </si>
  <si>
    <t>PAYE - January</t>
  </si>
  <si>
    <t>22/28.5.b</t>
  </si>
  <si>
    <t>23/02.6</t>
  </si>
  <si>
    <t>23/02.6.a</t>
  </si>
  <si>
    <t>24.02.23</t>
  </si>
  <si>
    <t>Salary - February</t>
  </si>
  <si>
    <t>PAYE - Febraury</t>
  </si>
  <si>
    <t>Stationary refund</t>
  </si>
  <si>
    <t>24.03.23</t>
  </si>
  <si>
    <t>Locality fund, R. Foss, Coronation celebrations</t>
  </si>
  <si>
    <t>21.03.23</t>
  </si>
  <si>
    <t>30.03.23</t>
  </si>
  <si>
    <t xml:space="preserve">PAYE - March </t>
  </si>
  <si>
    <t>27.03.23</t>
  </si>
  <si>
    <t>ICO</t>
  </si>
  <si>
    <t>Salary - March</t>
  </si>
  <si>
    <t xml:space="preserve">J. Harrison </t>
  </si>
  <si>
    <t>Refund of meeting tickets</t>
  </si>
  <si>
    <t>24.01.23</t>
  </si>
  <si>
    <t>23/07.5</t>
  </si>
  <si>
    <t>23/07.5.a</t>
  </si>
  <si>
    <t>Hire of Church Jan 23-March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</si>
</sst>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£&quot;#,##0.00;[Red]\-&quot;£&quot;#,##0.00"/>
    <numFmt numFmtId="164" formatCode="[$£-809]#,##0.00;[Red][$£-809]\-#,##0.00"/>
    <numFmt numFmtId="165" formatCode="d/m/yy;@"/>
    <numFmt numFmtId="166" formatCode="[$£-809]#,##0.00\ ;\-[$£-809]#,##0.00\ ;[$£-809]\-#\ ;@\ "/>
    <numFmt numFmtId="167" formatCode="[$£-809]#,##0.00;[Red]\-[$£-809]#,##0.00"/>
    <numFmt numFmtId="168" formatCode="dd/mm/yy;@"/>
    <numFmt numFmtId="169" formatCode="mm/dd/yy;@"/>
    <numFmt numFmtId="170" formatCode="\£#,##0.00;[Red]&quot;-£&quot;#,##0.00"/>
    <numFmt numFmtId="171" formatCode="&quot; £&quot;#,##0.00\ ;&quot;-£&quot;#,##0.00\ ;&quot; £-&quot;#\ ;@\ "/>
    <numFmt numFmtId="172" formatCode="0.0"/>
    <numFmt numFmtId="173" formatCode="[$£]#,##0.00;[Red]\-[$£]#,##0.00"/>
    <numFmt numFmtId="174" formatCode="d\-mmm\-yy;@"/>
    <numFmt numFmtId="175" formatCode="#,##0.00_ ;[Red]\-#,##0.00\ "/>
    <numFmt numFmtId="176" formatCode="#,##0_ ;[Red]\-#,##0\ "/>
    <numFmt numFmtId="177" formatCode="&quot;£&quot;#,##0.00"/>
  </numFmts>
  <fonts count="16" x14ac:knownFonts="1">
    <font>
      <sz val="10"/>
      <name val="Arial"/>
      <family val="2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20">
    <xf numFmtId="0" fontId="0" fillId="0" borderId="0" xfId="0"/>
    <xf numFmtId="0" fontId="8" fillId="0" borderId="0" xfId="1" applyAlignment="1">
      <alignment horizontal="center"/>
    </xf>
    <xf numFmtId="164" fontId="8" fillId="0" borderId="0" xfId="1" applyNumberFormat="1" applyAlignment="1">
      <alignment horizontal="center"/>
    </xf>
    <xf numFmtId="167" fontId="0" fillId="0" borderId="1" xfId="0" applyNumberFormat="1" applyBorder="1"/>
    <xf numFmtId="167" fontId="8" fillId="0" borderId="1" xfId="1" applyNumberFormat="1" applyBorder="1" applyAlignment="1">
      <alignment horizontal="right"/>
    </xf>
    <xf numFmtId="0" fontId="0" fillId="0" borderId="1" xfId="0" applyBorder="1"/>
    <xf numFmtId="14" fontId="0" fillId="0" borderId="0" xfId="0" applyNumberFormat="1"/>
    <xf numFmtId="171" fontId="8" fillId="0" borderId="0" xfId="1" applyNumberFormat="1"/>
    <xf numFmtId="166" fontId="8" fillId="0" borderId="0" xfId="1" applyNumberFormat="1" applyAlignment="1">
      <alignment horizontal="center"/>
    </xf>
    <xf numFmtId="14" fontId="8" fillId="0" borderId="0" xfId="1" applyNumberFormat="1" applyAlignment="1">
      <alignment horizontal="center"/>
    </xf>
    <xf numFmtId="14" fontId="4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4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171" fontId="5" fillId="0" borderId="1" xfId="1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1" applyFont="1" applyBorder="1" applyAlignment="1">
      <alignment horizontal="left"/>
    </xf>
    <xf numFmtId="167" fontId="8" fillId="0" borderId="0" xfId="1" applyNumberFormat="1"/>
    <xf numFmtId="167" fontId="0" fillId="0" borderId="1" xfId="1" applyNumberFormat="1" applyFont="1" applyBorder="1"/>
    <xf numFmtId="167" fontId="0" fillId="0" borderId="1" xfId="1" applyNumberFormat="1" applyFont="1" applyBorder="1" applyAlignment="1">
      <alignment horizontal="center"/>
    </xf>
    <xf numFmtId="167" fontId="8" fillId="0" borderId="1" xfId="1" applyNumberFormat="1" applyBorder="1" applyAlignment="1">
      <alignment horizontal="center"/>
    </xf>
    <xf numFmtId="172" fontId="0" fillId="0" borderId="1" xfId="1" applyNumberFormat="1" applyFont="1" applyBorder="1" applyAlignment="1">
      <alignment horizontal="center"/>
    </xf>
    <xf numFmtId="167" fontId="8" fillId="0" borderId="1" xfId="1" applyNumberFormat="1" applyBorder="1"/>
    <xf numFmtId="14" fontId="0" fillId="0" borderId="1" xfId="1" applyNumberFormat="1" applyFont="1" applyBorder="1" applyAlignment="1">
      <alignment horizontal="left"/>
    </xf>
    <xf numFmtId="167" fontId="0" fillId="0" borderId="0" xfId="1" applyNumberFormat="1" applyFont="1" applyAlignment="1">
      <alignment horizontal="right"/>
    </xf>
    <xf numFmtId="167" fontId="8" fillId="0" borderId="0" xfId="1" applyNumberFormat="1" applyAlignment="1">
      <alignment horizontal="center"/>
    </xf>
    <xf numFmtId="170" fontId="0" fillId="0" borderId="1" xfId="1" applyNumberFormat="1" applyFont="1" applyBorder="1" applyAlignment="1">
      <alignment horizontal="left"/>
    </xf>
    <xf numFmtId="14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0" fillId="0" borderId="4" xfId="0" applyBorder="1"/>
    <xf numFmtId="14" fontId="0" fillId="0" borderId="1" xfId="0" applyNumberFormat="1" applyBorder="1" applyAlignment="1">
      <alignment horizontal="left"/>
    </xf>
    <xf numFmtId="164" fontId="0" fillId="0" borderId="0" xfId="1" applyNumberFormat="1" applyFont="1" applyAlignment="1">
      <alignment horizontal="left"/>
    </xf>
    <xf numFmtId="167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right"/>
    </xf>
    <xf numFmtId="170" fontId="8" fillId="0" borderId="0" xfId="1" applyNumberFormat="1" applyAlignment="1">
      <alignment horizontal="center"/>
    </xf>
    <xf numFmtId="165" fontId="8" fillId="0" borderId="0" xfId="1" applyNumberFormat="1" applyAlignment="1">
      <alignment horizontal="center"/>
    </xf>
    <xf numFmtId="0" fontId="4" fillId="0" borderId="0" xfId="1" applyFont="1"/>
    <xf numFmtId="0" fontId="4" fillId="0" borderId="1" xfId="1" applyFont="1" applyBorder="1"/>
    <xf numFmtId="173" fontId="4" fillId="0" borderId="1" xfId="1" applyNumberFormat="1" applyFont="1" applyBorder="1" applyAlignment="1">
      <alignment horizontal="center"/>
    </xf>
    <xf numFmtId="173" fontId="8" fillId="0" borderId="1" xfId="1" applyNumberFormat="1" applyBorder="1" applyAlignment="1">
      <alignment horizontal="center"/>
    </xf>
    <xf numFmtId="0" fontId="8" fillId="0" borderId="0" xfId="1"/>
    <xf numFmtId="173" fontId="8" fillId="0" borderId="0" xfId="1" applyNumberFormat="1" applyAlignment="1">
      <alignment horizontal="center"/>
    </xf>
    <xf numFmtId="0" fontId="4" fillId="0" borderId="0" xfId="0" applyFont="1"/>
    <xf numFmtId="164" fontId="0" fillId="0" borderId="0" xfId="0" applyNumberFormat="1"/>
    <xf numFmtId="164" fontId="8" fillId="0" borderId="0" xfId="1" applyNumberFormat="1"/>
    <xf numFmtId="0" fontId="4" fillId="0" borderId="5" xfId="0" applyFont="1" applyBorder="1"/>
    <xf numFmtId="164" fontId="8" fillId="0" borderId="5" xfId="1" applyNumberFormat="1" applyBorder="1"/>
    <xf numFmtId="0" fontId="0" fillId="0" borderId="5" xfId="0" applyBorder="1"/>
    <xf numFmtId="0" fontId="8" fillId="0" borderId="5" xfId="1" applyBorder="1"/>
    <xf numFmtId="174" fontId="8" fillId="0" borderId="5" xfId="1" applyNumberFormat="1" applyBorder="1"/>
    <xf numFmtId="167" fontId="0" fillId="0" borderId="6" xfId="1" applyNumberFormat="1" applyFont="1" applyBorder="1" applyAlignment="1">
      <alignment horizontal="right"/>
    </xf>
    <xf numFmtId="167" fontId="8" fillId="0" borderId="3" xfId="1" applyNumberFormat="1" applyBorder="1"/>
    <xf numFmtId="167" fontId="8" fillId="0" borderId="3" xfId="1" applyNumberFormat="1" applyBorder="1" applyAlignment="1">
      <alignment horizontal="center"/>
    </xf>
    <xf numFmtId="167" fontId="8" fillId="0" borderId="8" xfId="1" applyNumberFormat="1" applyBorder="1"/>
    <xf numFmtId="167" fontId="0" fillId="0" borderId="8" xfId="1" applyNumberFormat="1" applyFont="1" applyBorder="1" applyAlignment="1">
      <alignment horizontal="right"/>
    </xf>
    <xf numFmtId="167" fontId="8" fillId="0" borderId="8" xfId="1" applyNumberFormat="1" applyBorder="1" applyAlignment="1">
      <alignment horizontal="center"/>
    </xf>
    <xf numFmtId="0" fontId="0" fillId="0" borderId="7" xfId="1" applyFont="1" applyBorder="1" applyAlignment="1">
      <alignment horizontal="left"/>
    </xf>
    <xf numFmtId="167" fontId="8" fillId="0" borderId="10" xfId="1" applyNumberFormat="1" applyBorder="1"/>
    <xf numFmtId="14" fontId="0" fillId="0" borderId="3" xfId="0" applyNumberFormat="1" applyBorder="1"/>
    <xf numFmtId="14" fontId="0" fillId="0" borderId="8" xfId="0" applyNumberFormat="1" applyBorder="1" applyAlignment="1">
      <alignment horizontal="left"/>
    </xf>
    <xf numFmtId="164" fontId="10" fillId="0" borderId="0" xfId="1" applyNumberFormat="1" applyFont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165" fontId="10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166" fontId="10" fillId="0" borderId="1" xfId="1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64" fontId="10" fillId="0" borderId="1" xfId="1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65" fontId="10" fillId="0" borderId="1" xfId="1" applyNumberFormat="1" applyFont="1" applyBorder="1" applyAlignment="1">
      <alignment horizontal="center"/>
    </xf>
    <xf numFmtId="0" fontId="10" fillId="0" borderId="1" xfId="1" applyFont="1" applyBorder="1"/>
    <xf numFmtId="167" fontId="10" fillId="0" borderId="1" xfId="1" applyNumberFormat="1" applyFont="1" applyBorder="1"/>
    <xf numFmtId="167" fontId="10" fillId="0" borderId="1" xfId="0" applyNumberFormat="1" applyFont="1" applyBorder="1"/>
    <xf numFmtId="167" fontId="10" fillId="0" borderId="1" xfId="1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center"/>
    </xf>
    <xf numFmtId="167" fontId="11" fillId="0" borderId="1" xfId="1" applyNumberFormat="1" applyFont="1" applyBorder="1" applyAlignment="1">
      <alignment horizontal="right"/>
    </xf>
    <xf numFmtId="167" fontId="11" fillId="0" borderId="1" xfId="1" applyNumberFormat="1" applyFont="1" applyBorder="1"/>
    <xf numFmtId="0" fontId="10" fillId="0" borderId="1" xfId="0" applyFont="1" applyBorder="1"/>
    <xf numFmtId="165" fontId="11" fillId="0" borderId="1" xfId="1" applyNumberFormat="1" applyFont="1" applyBorder="1" applyAlignment="1">
      <alignment horizontal="left"/>
    </xf>
    <xf numFmtId="167" fontId="11" fillId="0" borderId="2" xfId="1" applyNumberFormat="1" applyFont="1" applyBorder="1" applyAlignment="1">
      <alignment horizontal="right"/>
    </xf>
    <xf numFmtId="170" fontId="10" fillId="0" borderId="3" xfId="0" applyNumberFormat="1" applyFont="1" applyBorder="1" applyAlignment="1">
      <alignment horizontal="right"/>
    </xf>
    <xf numFmtId="164" fontId="10" fillId="0" borderId="3" xfId="1" applyNumberFormat="1" applyFont="1" applyBorder="1"/>
    <xf numFmtId="0" fontId="10" fillId="0" borderId="3" xfId="0" applyFont="1" applyBorder="1"/>
    <xf numFmtId="170" fontId="10" fillId="0" borderId="1" xfId="1" applyNumberFormat="1" applyFont="1" applyBorder="1" applyAlignment="1">
      <alignment horizontal="right"/>
    </xf>
    <xf numFmtId="164" fontId="11" fillId="0" borderId="1" xfId="1" applyNumberFormat="1" applyFont="1" applyBorder="1"/>
    <xf numFmtId="170" fontId="10" fillId="0" borderId="1" xfId="0" applyNumberFormat="1" applyFont="1" applyBorder="1" applyAlignment="1">
      <alignment horizontal="right"/>
    </xf>
    <xf numFmtId="164" fontId="10" fillId="0" borderId="1" xfId="1" applyNumberFormat="1" applyFont="1" applyBorder="1"/>
    <xf numFmtId="166" fontId="11" fillId="0" borderId="1" xfId="0" applyNumberFormat="1" applyFont="1" applyBorder="1"/>
    <xf numFmtId="170" fontId="11" fillId="0" borderId="1" xfId="1" applyNumberFormat="1" applyFont="1" applyBorder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0" fillId="0" borderId="0" xfId="1" applyFont="1" applyAlignment="1">
      <alignment horizontal="center"/>
    </xf>
    <xf numFmtId="49" fontId="0" fillId="0" borderId="1" xfId="1" quotePrefix="1" applyNumberFormat="1" applyFon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0" fontId="0" fillId="0" borderId="1" xfId="1" applyFont="1" applyBorder="1"/>
    <xf numFmtId="165" fontId="0" fillId="0" borderId="1" xfId="1" applyNumberFormat="1" applyFont="1" applyBorder="1" applyAlignment="1">
      <alignment horizontal="center"/>
    </xf>
    <xf numFmtId="170" fontId="0" fillId="0" borderId="1" xfId="1" applyNumberFormat="1" applyFont="1" applyBorder="1"/>
    <xf numFmtId="0" fontId="7" fillId="0" borderId="5" xfId="1" applyFont="1" applyBorder="1" applyAlignment="1">
      <alignment horizontal="center"/>
    </xf>
    <xf numFmtId="168" fontId="4" fillId="0" borderId="5" xfId="1" applyNumberFormat="1" applyFont="1" applyBorder="1"/>
    <xf numFmtId="0" fontId="7" fillId="0" borderId="5" xfId="1" applyFont="1" applyBorder="1" applyAlignment="1">
      <alignment horizontal="left"/>
    </xf>
    <xf numFmtId="175" fontId="7" fillId="0" borderId="5" xfId="1" applyNumberFormat="1" applyFont="1" applyBorder="1" applyAlignment="1">
      <alignment horizontal="right"/>
    </xf>
    <xf numFmtId="175" fontId="8" fillId="0" borderId="5" xfId="1" applyNumberFormat="1" applyBorder="1" applyAlignment="1">
      <alignment horizontal="right"/>
    </xf>
    <xf numFmtId="0" fontId="8" fillId="0" borderId="5" xfId="1" applyBorder="1" applyAlignment="1">
      <alignment horizontal="right"/>
    </xf>
    <xf numFmtId="164" fontId="8" fillId="0" borderId="5" xfId="1" applyNumberFormat="1" applyBorder="1" applyAlignment="1">
      <alignment horizontal="right"/>
    </xf>
    <xf numFmtId="0" fontId="7" fillId="2" borderId="5" xfId="1" applyFont="1" applyFill="1" applyBorder="1" applyAlignment="1">
      <alignment horizontal="left"/>
    </xf>
    <xf numFmtId="0" fontId="8" fillId="2" borderId="5" xfId="1" applyFill="1" applyBorder="1" applyAlignment="1">
      <alignment horizontal="right"/>
    </xf>
    <xf numFmtId="164" fontId="8" fillId="2" borderId="5" xfId="1" applyNumberFormat="1" applyFill="1" applyBorder="1" applyAlignment="1">
      <alignment horizontal="right"/>
    </xf>
    <xf numFmtId="175" fontId="7" fillId="2" borderId="5" xfId="1" applyNumberFormat="1" applyFont="1" applyFill="1" applyBorder="1" applyAlignment="1">
      <alignment horizontal="right"/>
    </xf>
    <xf numFmtId="176" fontId="10" fillId="0" borderId="1" xfId="0" applyNumberFormat="1" applyFont="1" applyBorder="1"/>
    <xf numFmtId="0" fontId="10" fillId="0" borderId="7" xfId="0" applyFont="1" applyBorder="1" applyAlignment="1">
      <alignment horizontal="right" vertical="top" wrapText="1"/>
    </xf>
    <xf numFmtId="167" fontId="10" fillId="0" borderId="3" xfId="0" applyNumberFormat="1" applyFont="1" applyBorder="1" applyAlignment="1">
      <alignment horizontal="right"/>
    </xf>
    <xf numFmtId="0" fontId="0" fillId="0" borderId="8" xfId="0" applyBorder="1"/>
    <xf numFmtId="0" fontId="0" fillId="0" borderId="12" xfId="0" applyBorder="1"/>
    <xf numFmtId="175" fontId="0" fillId="0" borderId="11" xfId="0" applyNumberFormat="1" applyBorder="1"/>
    <xf numFmtId="0" fontId="12" fillId="2" borderId="5" xfId="1" applyFont="1" applyFill="1" applyBorder="1"/>
    <xf numFmtId="0" fontId="7" fillId="2" borderId="5" xfId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right"/>
    </xf>
    <xf numFmtId="175" fontId="12" fillId="2" borderId="5" xfId="1" applyNumberFormat="1" applyFont="1" applyFill="1" applyBorder="1" applyAlignment="1">
      <alignment horizontal="right"/>
    </xf>
    <xf numFmtId="0" fontId="12" fillId="2" borderId="5" xfId="0" applyFont="1" applyFill="1" applyBorder="1"/>
    <xf numFmtId="0" fontId="7" fillId="2" borderId="5" xfId="1" applyFont="1" applyFill="1" applyBorder="1"/>
    <xf numFmtId="164" fontId="7" fillId="2" borderId="5" xfId="1" applyNumberFormat="1" applyFont="1" applyFill="1" applyBorder="1"/>
    <xf numFmtId="164" fontId="12" fillId="2" borderId="10" xfId="1" applyNumberFormat="1" applyFont="1" applyFill="1" applyBorder="1"/>
    <xf numFmtId="0" fontId="7" fillId="2" borderId="5" xfId="0" applyFont="1" applyFill="1" applyBorder="1"/>
    <xf numFmtId="164" fontId="7" fillId="2" borderId="13" xfId="1" applyNumberFormat="1" applyFont="1" applyFill="1" applyBorder="1"/>
    <xf numFmtId="165" fontId="8" fillId="0" borderId="0" xfId="1" applyNumberFormat="1" applyAlignment="1">
      <alignment horizontal="center" wrapText="1"/>
    </xf>
    <xf numFmtId="49" fontId="8" fillId="3" borderId="0" xfId="1" applyNumberForma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0" fontId="10" fillId="3" borderId="6" xfId="0" applyFont="1" applyFill="1" applyBorder="1" applyAlignment="1">
      <alignment horizontal="right" vertical="top" wrapText="1"/>
    </xf>
    <xf numFmtId="167" fontId="0" fillId="3" borderId="1" xfId="1" applyNumberFormat="1" applyFont="1" applyFill="1" applyBorder="1" applyAlignment="1">
      <alignment horizontal="center"/>
    </xf>
    <xf numFmtId="167" fontId="8" fillId="3" borderId="0" xfId="1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64" fontId="8" fillId="3" borderId="0" xfId="1" applyNumberFormat="1" applyFill="1" applyAlignment="1">
      <alignment horizontal="center"/>
    </xf>
    <xf numFmtId="0" fontId="10" fillId="3" borderId="0" xfId="0" applyFont="1" applyFill="1" applyAlignment="1">
      <alignment vertical="top" wrapText="1"/>
    </xf>
    <xf numFmtId="0" fontId="10" fillId="3" borderId="0" xfId="0" applyFont="1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11" fillId="3" borderId="0" xfId="0" applyFont="1" applyFill="1"/>
    <xf numFmtId="167" fontId="11" fillId="3" borderId="2" xfId="1" applyNumberFormat="1" applyFont="1" applyFill="1" applyBorder="1" applyAlignment="1">
      <alignment horizontal="right"/>
    </xf>
    <xf numFmtId="0" fontId="10" fillId="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5" fontId="0" fillId="0" borderId="0" xfId="1" applyNumberFormat="1" applyFont="1" applyAlignment="1">
      <alignment horizontal="center"/>
    </xf>
    <xf numFmtId="16" fontId="0" fillId="0" borderId="0" xfId="0" applyNumberFormat="1"/>
    <xf numFmtId="0" fontId="0" fillId="0" borderId="1" xfId="1" applyFont="1" applyBorder="1" applyAlignment="1">
      <alignment horizontal="left" vertical="top" wrapText="1"/>
    </xf>
    <xf numFmtId="14" fontId="0" fillId="0" borderId="1" xfId="1" applyNumberFormat="1" applyFont="1" applyBorder="1" applyAlignment="1">
      <alignment horizontal="left" vertical="top" wrapText="1"/>
    </xf>
    <xf numFmtId="14" fontId="0" fillId="0" borderId="7" xfId="1" applyNumberFormat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3" borderId="0" xfId="0" applyFill="1" applyAlignment="1">
      <alignment horizontal="right"/>
    </xf>
    <xf numFmtId="165" fontId="0" fillId="0" borderId="0" xfId="1" applyNumberFormat="1" applyFont="1" applyAlignment="1">
      <alignment horizontal="center" wrapText="1"/>
    </xf>
    <xf numFmtId="168" fontId="0" fillId="0" borderId="1" xfId="1" applyNumberFormat="1" applyFont="1" applyBorder="1" applyAlignment="1">
      <alignment horizontal="center"/>
    </xf>
    <xf numFmtId="166" fontId="8" fillId="0" borderId="1" xfId="1" applyNumberFormat="1" applyBorder="1" applyAlignment="1">
      <alignment horizontal="center" vertical="top" wrapText="1"/>
    </xf>
    <xf numFmtId="164" fontId="4" fillId="0" borderId="5" xfId="1" applyNumberFormat="1" applyFont="1" applyBorder="1"/>
    <xf numFmtId="171" fontId="0" fillId="0" borderId="6" xfId="1" applyNumberFormat="1" applyFont="1" applyBorder="1" applyAlignment="1">
      <alignment horizontal="right" vertical="top" wrapText="1"/>
    </xf>
    <xf numFmtId="14" fontId="0" fillId="4" borderId="1" xfId="1" applyNumberFormat="1" applyFont="1" applyFill="1" applyBorder="1" applyAlignment="1">
      <alignment horizontal="left"/>
    </xf>
    <xf numFmtId="170" fontId="0" fillId="4" borderId="1" xfId="1" applyNumberFormat="1" applyFont="1" applyFill="1" applyBorder="1" applyAlignment="1">
      <alignment horizontal="left"/>
    </xf>
    <xf numFmtId="0" fontId="0" fillId="4" borderId="1" xfId="1" applyFont="1" applyFill="1" applyBorder="1" applyAlignment="1">
      <alignment horizontal="left"/>
    </xf>
    <xf numFmtId="167" fontId="8" fillId="4" borderId="1" xfId="1" applyNumberFormat="1" applyFill="1" applyBorder="1"/>
    <xf numFmtId="168" fontId="0" fillId="4" borderId="1" xfId="1" applyNumberFormat="1" applyFont="1" applyFill="1" applyBorder="1" applyAlignment="1">
      <alignment horizontal="center"/>
    </xf>
    <xf numFmtId="166" fontId="8" fillId="0" borderId="1" xfId="1" applyNumberForma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14" fontId="8" fillId="0" borderId="1" xfId="1" applyNumberFormat="1" applyBorder="1" applyAlignment="1">
      <alignment horizontal="left" vertical="top" wrapText="1"/>
    </xf>
    <xf numFmtId="164" fontId="8" fillId="0" borderId="1" xfId="1" applyNumberFormat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167" fontId="8" fillId="0" borderId="13" xfId="1" applyNumberFormat="1" applyBorder="1"/>
    <xf numFmtId="167" fontId="0" fillId="0" borderId="13" xfId="1" applyNumberFormat="1" applyFont="1" applyBorder="1" applyAlignment="1">
      <alignment horizontal="right"/>
    </xf>
    <xf numFmtId="171" fontId="8" fillId="0" borderId="1" xfId="1" applyNumberFormat="1" applyBorder="1" applyAlignment="1">
      <alignment horizontal="left" vertical="top" wrapText="1"/>
    </xf>
    <xf numFmtId="49" fontId="0" fillId="0" borderId="1" xfId="1" quotePrefix="1" applyNumberFormat="1" applyFont="1" applyBorder="1" applyAlignment="1">
      <alignment horizontal="left"/>
    </xf>
    <xf numFmtId="0" fontId="0" fillId="3" borderId="6" xfId="0" applyFill="1" applyBorder="1" applyAlignment="1">
      <alignment horizontal="center" vertical="top" wrapText="1"/>
    </xf>
    <xf numFmtId="171" fontId="8" fillId="0" borderId="6" xfId="1" applyNumberFormat="1" applyBorder="1" applyAlignment="1">
      <alignment horizontal="right" vertical="top" wrapText="1"/>
    </xf>
    <xf numFmtId="166" fontId="8" fillId="0" borderId="4" xfId="1" applyNumberFormat="1" applyBorder="1" applyAlignment="1">
      <alignment horizontal="center" vertical="top" wrapText="1"/>
    </xf>
    <xf numFmtId="166" fontId="8" fillId="0" borderId="1" xfId="1" applyNumberFormat="1" applyBorder="1" applyAlignment="1">
      <alignment horizontal="center" vertical="center" wrapText="1"/>
    </xf>
    <xf numFmtId="0" fontId="0" fillId="4" borderId="8" xfId="1" applyFont="1" applyFill="1" applyBorder="1" applyAlignment="1">
      <alignment horizontal="left"/>
    </xf>
    <xf numFmtId="166" fontId="8" fillId="0" borderId="0" xfId="1" applyNumberFormat="1" applyAlignment="1">
      <alignment horizontal="center" vertical="top" wrapText="1"/>
    </xf>
    <xf numFmtId="166" fontId="8" fillId="0" borderId="0" xfId="1" applyNumberFormat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top" wrapText="1"/>
    </xf>
    <xf numFmtId="0" fontId="0" fillId="0" borderId="1" xfId="1" applyFont="1" applyBorder="1" applyAlignment="1">
      <alignment vertical="top" wrapText="1"/>
    </xf>
    <xf numFmtId="0" fontId="0" fillId="3" borderId="0" xfId="0" applyFill="1" applyAlignment="1">
      <alignment horizontal="right" vertical="top" wrapText="1"/>
    </xf>
    <xf numFmtId="0" fontId="0" fillId="0" borderId="0" xfId="0" applyAlignment="1">
      <alignment vertical="top" wrapText="1"/>
    </xf>
    <xf numFmtId="177" fontId="10" fillId="0" borderId="1" xfId="0" applyNumberFormat="1" applyFont="1" applyBorder="1" applyAlignment="1">
      <alignment horizontal="right" vertical="top" wrapText="1"/>
    </xf>
    <xf numFmtId="49" fontId="0" fillId="0" borderId="1" xfId="1" applyNumberFormat="1" applyFont="1" applyBorder="1" applyAlignment="1">
      <alignment horizontal="left"/>
    </xf>
    <xf numFmtId="49" fontId="0" fillId="4" borderId="1" xfId="1" quotePrefix="1" applyNumberFormat="1" applyFont="1" applyFill="1" applyBorder="1" applyAlignment="1">
      <alignment horizontal="left"/>
    </xf>
    <xf numFmtId="167" fontId="8" fillId="4" borderId="6" xfId="1" applyNumberFormat="1" applyFill="1" applyBorder="1" applyAlignment="1">
      <alignment horizontal="right"/>
    </xf>
    <xf numFmtId="0" fontId="8" fillId="4" borderId="1" xfId="1" applyFill="1" applyBorder="1" applyAlignment="1">
      <alignment horizontal="left" vertical="top" wrapText="1"/>
    </xf>
    <xf numFmtId="177" fontId="10" fillId="0" borderId="5" xfId="0" applyNumberFormat="1" applyFont="1" applyBorder="1" applyAlignment="1">
      <alignment horizontal="right" vertical="top" wrapText="1"/>
    </xf>
    <xf numFmtId="177" fontId="10" fillId="0" borderId="4" xfId="1" applyNumberFormat="1" applyFont="1" applyBorder="1" applyAlignment="1">
      <alignment horizontal="right" vertical="top" wrapText="1"/>
    </xf>
    <xf numFmtId="177" fontId="10" fillId="0" borderId="14" xfId="0" applyNumberFormat="1" applyFont="1" applyBorder="1" applyAlignment="1">
      <alignment horizontal="right" vertical="top" wrapText="1"/>
    </xf>
    <xf numFmtId="177" fontId="10" fillId="0" borderId="8" xfId="0" applyNumberFormat="1" applyFont="1" applyBorder="1"/>
    <xf numFmtId="177" fontId="10" fillId="0" borderId="4" xfId="1" applyNumberFormat="1" applyFont="1" applyBorder="1"/>
    <xf numFmtId="177" fontId="10" fillId="0" borderId="1" xfId="0" applyNumberFormat="1" applyFont="1" applyBorder="1"/>
    <xf numFmtId="0" fontId="0" fillId="4" borderId="1" xfId="1" applyFont="1" applyFill="1" applyBorder="1" applyAlignment="1">
      <alignment wrapText="1"/>
    </xf>
    <xf numFmtId="166" fontId="0" fillId="0" borderId="1" xfId="1" applyNumberFormat="1" applyFont="1" applyBorder="1" applyAlignment="1">
      <alignment horizontal="center" vertical="top" wrapText="1"/>
    </xf>
    <xf numFmtId="166" fontId="0" fillId="0" borderId="1" xfId="1" applyNumberFormat="1" applyFont="1" applyBorder="1" applyAlignment="1">
      <alignment horizontal="center" vertical="center" wrapText="1"/>
    </xf>
    <xf numFmtId="166" fontId="0" fillId="0" borderId="4" xfId="1" applyNumberFormat="1" applyFont="1" applyBorder="1" applyAlignment="1">
      <alignment horizontal="center" vertical="top" wrapText="1"/>
    </xf>
    <xf numFmtId="167" fontId="0" fillId="4" borderId="6" xfId="1" applyNumberFormat="1" applyFont="1" applyFill="1" applyBorder="1" applyAlignment="1">
      <alignment horizontal="right"/>
    </xf>
    <xf numFmtId="170" fontId="0" fillId="4" borderId="7" xfId="1" applyNumberFormat="1" applyFont="1" applyFill="1" applyBorder="1" applyAlignment="1">
      <alignment horizontal="left"/>
    </xf>
    <xf numFmtId="167" fontId="0" fillId="4" borderId="9" xfId="1" applyNumberFormat="1" applyFont="1" applyFill="1" applyBorder="1" applyAlignment="1">
      <alignment horizontal="right"/>
    </xf>
    <xf numFmtId="167" fontId="0" fillId="4" borderId="8" xfId="1" applyNumberFormat="1" applyFont="1" applyFill="1" applyBorder="1" applyAlignment="1">
      <alignment horizontal="right"/>
    </xf>
    <xf numFmtId="0" fontId="0" fillId="4" borderId="3" xfId="1" applyFont="1" applyFill="1" applyBorder="1" applyAlignment="1">
      <alignment horizontal="left"/>
    </xf>
    <xf numFmtId="167" fontId="8" fillId="4" borderId="3" xfId="1" applyNumberFormat="1" applyFill="1" applyBorder="1" applyAlignment="1">
      <alignment horizontal="right"/>
    </xf>
    <xf numFmtId="167" fontId="8" fillId="4" borderId="1" xfId="1" applyNumberFormat="1" applyFill="1" applyBorder="1" applyAlignment="1">
      <alignment horizontal="right"/>
    </xf>
    <xf numFmtId="166" fontId="10" fillId="0" borderId="0" xfId="1" applyNumberFormat="1" applyFont="1" applyAlignment="1">
      <alignment horizontal="right" vertical="top" wrapText="1"/>
    </xf>
    <xf numFmtId="8" fontId="10" fillId="0" borderId="0" xfId="0" applyNumberFormat="1" applyFont="1" applyAlignment="1">
      <alignment horizontal="right"/>
    </xf>
    <xf numFmtId="167" fontId="8" fillId="0" borderId="6" xfId="1" applyNumberFormat="1" applyBorder="1" applyAlignment="1">
      <alignment horizontal="right"/>
    </xf>
    <xf numFmtId="166" fontId="8" fillId="0" borderId="1" xfId="1" applyNumberFormat="1" applyBorder="1" applyAlignment="1">
      <alignment horizontal="right" vertical="top" wrapText="1"/>
    </xf>
    <xf numFmtId="167" fontId="8" fillId="4" borderId="8" xfId="1" applyNumberFormat="1" applyFill="1" applyBorder="1" applyAlignment="1">
      <alignment horizontal="center"/>
    </xf>
    <xf numFmtId="167" fontId="8" fillId="4" borderId="1" xfId="1" applyNumberFormat="1" applyFill="1" applyBorder="1" applyAlignment="1">
      <alignment horizontal="center"/>
    </xf>
    <xf numFmtId="166" fontId="8" fillId="4" borderId="1" xfId="1" applyNumberForma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</cellXfs>
  <cellStyles count="6">
    <cellStyle name="Default 1" xfId="1" xr:uid="{00000000-0005-0000-0000-000000000000}"/>
    <cellStyle name="Heading 1" xfId="2" builtinId="16" customBuiltin="1"/>
    <cellStyle name="Heading1 1" xfId="3" xr:uid="{00000000-0005-0000-0000-000002000000}"/>
    <cellStyle name="Normal" xfId="0" builtinId="0"/>
    <cellStyle name="Result 1" xfId="4" xr:uid="{00000000-0005-0000-0000-000004000000}"/>
    <cellStyle name="Result2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304800</xdr:rowOff>
    </xdr:from>
    <xdr:to>
      <xdr:col>10</xdr:col>
      <xdr:colOff>403860</xdr:colOff>
      <xdr:row>5</xdr:row>
      <xdr:rowOff>160020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986028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381000</xdr:colOff>
      <xdr:row>0</xdr:row>
      <xdr:rowOff>304800</xdr:rowOff>
    </xdr:from>
    <xdr:to>
      <xdr:col>18</xdr:col>
      <xdr:colOff>403860</xdr:colOff>
      <xdr:row>5</xdr:row>
      <xdr:rowOff>160020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1011174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4</xdr:row>
      <xdr:rowOff>198120</xdr:rowOff>
    </xdr:from>
    <xdr:to>
      <xdr:col>5</xdr:col>
      <xdr:colOff>876300</xdr:colOff>
      <xdr:row>7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 flipH="1">
          <a:off x="6545580" y="967740"/>
          <a:ext cx="822960" cy="5867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45720</xdr:colOff>
      <xdr:row>10</xdr:row>
      <xdr:rowOff>91440</xdr:rowOff>
    </xdr:from>
    <xdr:to>
      <xdr:col>5</xdr:col>
      <xdr:colOff>853440</xdr:colOff>
      <xdr:row>10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 bwMode="auto">
        <a:xfrm flipH="1" flipV="1">
          <a:off x="6400800" y="207264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15240</xdr:colOff>
      <xdr:row>10</xdr:row>
      <xdr:rowOff>83820</xdr:rowOff>
    </xdr:from>
    <xdr:to>
      <xdr:col>5</xdr:col>
      <xdr:colOff>861060</xdr:colOff>
      <xdr:row>15</xdr:row>
      <xdr:rowOff>60960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 bwMode="auto">
        <a:xfrm flipH="1">
          <a:off x="6370320" y="2065020"/>
          <a:ext cx="845820" cy="8153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83820</xdr:colOff>
      <xdr:row>11</xdr:row>
      <xdr:rowOff>45720</xdr:rowOff>
    </xdr:from>
    <xdr:to>
      <xdr:col>6</xdr:col>
      <xdr:colOff>320040</xdr:colOff>
      <xdr:row>17</xdr:row>
      <xdr:rowOff>129540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 bwMode="auto">
        <a:xfrm flipH="1">
          <a:off x="6438900" y="2194560"/>
          <a:ext cx="1120140" cy="10896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53340</xdr:colOff>
      <xdr:row>11</xdr:row>
      <xdr:rowOff>76200</xdr:rowOff>
    </xdr:from>
    <xdr:to>
      <xdr:col>6</xdr:col>
      <xdr:colOff>312420</xdr:colOff>
      <xdr:row>27</xdr:row>
      <xdr:rowOff>106680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 flipH="1">
          <a:off x="6408420" y="2225040"/>
          <a:ext cx="1143000" cy="27051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106680</xdr:colOff>
      <xdr:row>4</xdr:row>
      <xdr:rowOff>182880</xdr:rowOff>
    </xdr:from>
    <xdr:to>
      <xdr:col>6</xdr:col>
      <xdr:colOff>30480</xdr:colOff>
      <xdr:row>4</xdr:row>
      <xdr:rowOff>190500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 bwMode="auto">
        <a:xfrm flipH="1" flipV="1">
          <a:off x="6598920" y="95250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64770</xdr:colOff>
      <xdr:row>30</xdr:row>
      <xdr:rowOff>80010</xdr:rowOff>
    </xdr:from>
    <xdr:to>
      <xdr:col>6</xdr:col>
      <xdr:colOff>15240</xdr:colOff>
      <xdr:row>30</xdr:row>
      <xdr:rowOff>87630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 bwMode="auto">
        <a:xfrm flipH="1" flipV="1">
          <a:off x="6370320" y="549021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opLeftCell="A13" workbookViewId="0">
      <selection activeCell="H15" sqref="H15"/>
    </sheetView>
  </sheetViews>
  <sheetFormatPr defaultColWidth="11.5703125" defaultRowHeight="12.95" customHeight="1" x14ac:dyDescent="0.2"/>
  <cols>
    <col min="1" max="1" width="3.7109375" style="139" customWidth="1"/>
    <col min="2" max="2" width="14" style="97" customWidth="1"/>
    <col min="3" max="3" width="40.140625" style="64" customWidth="1"/>
    <col min="4" max="4" width="14" style="64" customWidth="1"/>
    <col min="5" max="5" width="10.42578125" style="64" customWidth="1"/>
    <col min="6" max="7" width="13.28515625" style="64" customWidth="1"/>
    <col min="8" max="8" width="14.85546875" style="64" customWidth="1"/>
    <col min="9" max="9" width="11.140625" style="64" customWidth="1"/>
    <col min="10" max="10" width="11.140625" style="139" customWidth="1"/>
    <col min="11" max="12" width="11.5703125" style="64"/>
    <col min="13" max="13" width="11.5703125" style="139"/>
    <col min="14" max="16384" width="11.5703125" style="64"/>
  </cols>
  <sheetData>
    <row r="1" spans="1:14" ht="25.35" customHeight="1" x14ac:dyDescent="0.25">
      <c r="B1" s="214" t="s">
        <v>0</v>
      </c>
      <c r="C1" s="214"/>
      <c r="D1" s="63"/>
      <c r="F1" s="65"/>
      <c r="K1" s="64" t="s">
        <v>47</v>
      </c>
    </row>
    <row r="2" spans="1:14" ht="12.75" x14ac:dyDescent="0.2">
      <c r="B2" s="66"/>
      <c r="D2" s="63"/>
      <c r="F2" s="65"/>
    </row>
    <row r="3" spans="1:14" ht="13.35" customHeight="1" x14ac:dyDescent="0.2">
      <c r="B3" s="215" t="s">
        <v>66</v>
      </c>
      <c r="C3" s="216"/>
      <c r="D3" s="63"/>
      <c r="F3" s="65"/>
    </row>
    <row r="4" spans="1:14" ht="12.75" x14ac:dyDescent="0.2">
      <c r="B4" s="66"/>
      <c r="D4" s="63"/>
      <c r="F4" s="65"/>
    </row>
    <row r="5" spans="1:14" ht="12.75" x14ac:dyDescent="0.2">
      <c r="B5" s="67" t="s">
        <v>1</v>
      </c>
      <c r="D5" s="63"/>
      <c r="F5" s="65"/>
    </row>
    <row r="6" spans="1:14" ht="12.75" x14ac:dyDescent="0.2">
      <c r="B6" s="66"/>
      <c r="D6" s="63"/>
      <c r="F6" s="65"/>
    </row>
    <row r="7" spans="1:14" s="73" customFormat="1" ht="38.25" x14ac:dyDescent="0.2">
      <c r="A7" s="138"/>
      <c r="B7" s="68" t="s">
        <v>40</v>
      </c>
      <c r="C7" s="69" t="s">
        <v>3</v>
      </c>
      <c r="D7" s="70" t="s">
        <v>4</v>
      </c>
      <c r="E7" s="115" t="s">
        <v>5</v>
      </c>
      <c r="F7" s="72" t="s">
        <v>49</v>
      </c>
      <c r="G7" s="71" t="s">
        <v>6</v>
      </c>
      <c r="H7" s="71" t="s">
        <v>7</v>
      </c>
      <c r="I7" s="77"/>
      <c r="J7" s="133" t="s">
        <v>48</v>
      </c>
      <c r="K7" s="73" t="s">
        <v>41</v>
      </c>
      <c r="M7" s="138" t="s">
        <v>50</v>
      </c>
    </row>
    <row r="8" spans="1:14" s="73" customFormat="1" ht="12.75" x14ac:dyDescent="0.2">
      <c r="A8" s="138"/>
      <c r="B8" s="181" t="s">
        <v>67</v>
      </c>
      <c r="C8" s="182" t="s">
        <v>68</v>
      </c>
      <c r="D8" s="207">
        <v>100</v>
      </c>
      <c r="E8" s="190"/>
      <c r="F8" s="191"/>
      <c r="G8" s="185"/>
      <c r="H8" s="185">
        <v>100</v>
      </c>
      <c r="I8" s="77"/>
      <c r="J8" s="183" t="s">
        <v>58</v>
      </c>
      <c r="K8" s="184" t="s">
        <v>67</v>
      </c>
      <c r="M8" s="138"/>
    </row>
    <row r="9" spans="1:14" s="73" customFormat="1" ht="12.75" x14ac:dyDescent="0.2">
      <c r="A9" s="138"/>
      <c r="B9" s="181" t="s">
        <v>69</v>
      </c>
      <c r="C9" s="182" t="s">
        <v>70</v>
      </c>
      <c r="D9" s="70">
        <v>2585</v>
      </c>
      <c r="E9" s="192"/>
      <c r="F9" s="191"/>
      <c r="G9" s="185">
        <v>2585</v>
      </c>
      <c r="H9" s="185"/>
      <c r="I9" s="77"/>
      <c r="J9" s="183" t="s">
        <v>58</v>
      </c>
      <c r="K9" s="184" t="s">
        <v>69</v>
      </c>
      <c r="M9" s="138"/>
    </row>
    <row r="10" spans="1:14" ht="12.75" x14ac:dyDescent="0.2">
      <c r="A10" s="139" t="str">
        <f>IF(J10="Y",J10&amp;M10,"")</f>
        <v/>
      </c>
      <c r="B10" s="101" t="s">
        <v>71</v>
      </c>
      <c r="C10" s="100" t="s">
        <v>72</v>
      </c>
      <c r="D10" s="208">
        <v>30</v>
      </c>
      <c r="E10" s="193"/>
      <c r="F10" s="194"/>
      <c r="G10" s="195"/>
      <c r="H10" s="195">
        <v>30</v>
      </c>
      <c r="I10" s="77"/>
      <c r="J10" s="153" t="s">
        <v>58</v>
      </c>
      <c r="K10" s="148" t="s">
        <v>71</v>
      </c>
      <c r="M10" s="139">
        <f>COUNTIF($J$7:J10,"Y")</f>
        <v>0</v>
      </c>
    </row>
    <row r="11" spans="1:14" ht="12.75" x14ac:dyDescent="0.2">
      <c r="A11" s="139" t="str">
        <f t="shared" ref="A11:A35" si="0">IF(J11="Y",J11&amp;M11,"")</f>
        <v/>
      </c>
      <c r="B11" s="101" t="s">
        <v>91</v>
      </c>
      <c r="C11" s="100" t="s">
        <v>92</v>
      </c>
      <c r="D11" s="78">
        <v>150</v>
      </c>
      <c r="E11" s="116"/>
      <c r="F11" s="76"/>
      <c r="G11" s="77"/>
      <c r="H11" s="77">
        <v>150</v>
      </c>
      <c r="I11" s="77"/>
      <c r="J11" s="153" t="s">
        <v>58</v>
      </c>
      <c r="K11" s="148" t="s">
        <v>109</v>
      </c>
      <c r="M11" s="139">
        <f>COUNTIF($J$7:J11,"Y")</f>
        <v>0</v>
      </c>
      <c r="N11" s="114"/>
    </row>
    <row r="12" spans="1:14" ht="12.75" x14ac:dyDescent="0.2">
      <c r="A12" s="139" t="str">
        <f t="shared" si="0"/>
        <v/>
      </c>
      <c r="B12" s="101" t="s">
        <v>93</v>
      </c>
      <c r="C12" s="100" t="s">
        <v>94</v>
      </c>
      <c r="D12" s="78">
        <v>122</v>
      </c>
      <c r="E12" s="79"/>
      <c r="F12" s="76"/>
      <c r="G12" s="77"/>
      <c r="H12" s="77">
        <v>122</v>
      </c>
      <c r="I12" s="77"/>
      <c r="J12" s="153" t="s">
        <v>58</v>
      </c>
      <c r="K12" s="148" t="s">
        <v>108</v>
      </c>
      <c r="M12" s="139">
        <f>COUNTIF($J$7:J12,"Y")</f>
        <v>0</v>
      </c>
    </row>
    <row r="13" spans="1:14" ht="12.75" x14ac:dyDescent="0.2">
      <c r="A13" s="139" t="str">
        <f t="shared" si="0"/>
        <v/>
      </c>
      <c r="B13" s="155" t="s">
        <v>128</v>
      </c>
      <c r="C13" s="100" t="s">
        <v>129</v>
      </c>
      <c r="D13" s="78">
        <v>328.87</v>
      </c>
      <c r="E13" s="79"/>
      <c r="F13" s="77"/>
      <c r="G13" s="77"/>
      <c r="H13" s="77">
        <v>328.87</v>
      </c>
      <c r="I13" s="77"/>
      <c r="J13" s="153" t="s">
        <v>58</v>
      </c>
      <c r="K13" s="148" t="s">
        <v>128</v>
      </c>
      <c r="M13" s="139">
        <f>COUNTIF($J$7:J13,"Y")</f>
        <v>0</v>
      </c>
    </row>
    <row r="14" spans="1:14" ht="12.75" x14ac:dyDescent="0.2">
      <c r="A14" s="139" t="str">
        <f t="shared" si="0"/>
        <v/>
      </c>
      <c r="B14" s="99" t="s">
        <v>133</v>
      </c>
      <c r="C14" s="100" t="s">
        <v>134</v>
      </c>
      <c r="D14" s="78">
        <v>2585</v>
      </c>
      <c r="E14" s="79"/>
      <c r="F14" s="76"/>
      <c r="G14" s="77">
        <v>2585</v>
      </c>
      <c r="H14" s="77"/>
      <c r="I14" s="77"/>
      <c r="J14" s="153" t="s">
        <v>58</v>
      </c>
      <c r="K14" s="148" t="s">
        <v>133</v>
      </c>
      <c r="M14" s="139">
        <f>COUNTIF($J$7:J14,"Y")</f>
        <v>0</v>
      </c>
    </row>
    <row r="15" spans="1:14" ht="12.75" x14ac:dyDescent="0.2">
      <c r="A15" s="139" t="str">
        <f t="shared" si="0"/>
        <v/>
      </c>
      <c r="B15" s="99" t="s">
        <v>180</v>
      </c>
      <c r="C15" s="100" t="s">
        <v>181</v>
      </c>
      <c r="D15" s="78">
        <v>92</v>
      </c>
      <c r="E15" s="79"/>
      <c r="F15" s="76"/>
      <c r="G15" s="77"/>
      <c r="H15" s="77">
        <v>92</v>
      </c>
      <c r="I15" s="77"/>
      <c r="J15" s="153" t="s">
        <v>58</v>
      </c>
      <c r="K15" s="148" t="s">
        <v>180</v>
      </c>
      <c r="M15" s="139">
        <f>COUNTIF($J$7:J15,"Y")</f>
        <v>0</v>
      </c>
    </row>
    <row r="16" spans="1:14" ht="12.75" x14ac:dyDescent="0.2">
      <c r="A16" s="139" t="str">
        <f t="shared" si="0"/>
        <v/>
      </c>
      <c r="B16" s="101"/>
      <c r="C16" s="102"/>
      <c r="D16" s="78"/>
      <c r="E16" s="79"/>
      <c r="F16" s="76"/>
      <c r="G16" s="77"/>
      <c r="H16" s="77"/>
      <c r="I16" s="77"/>
      <c r="J16" s="153" t="str">
        <f>IF(ISBLANK(B16),"",IF(K16&lt;Rec!$E$2,"Y","N"))</f>
        <v/>
      </c>
      <c r="M16" s="139">
        <f>COUNTIF($J$7:J16,"Y")</f>
        <v>0</v>
      </c>
    </row>
    <row r="17" spans="1:13" ht="12.75" x14ac:dyDescent="0.2">
      <c r="A17" s="139" t="str">
        <f t="shared" si="0"/>
        <v/>
      </c>
      <c r="B17" s="74"/>
      <c r="C17" s="75"/>
      <c r="D17" s="78"/>
      <c r="E17" s="79"/>
      <c r="F17" s="76"/>
      <c r="G17" s="77"/>
      <c r="H17" s="77"/>
      <c r="I17" s="77"/>
      <c r="J17" s="153" t="str">
        <f>IF(ISBLANK(B17),"",IF(K17&lt;Rec!$E$2,"Y","N"))</f>
        <v/>
      </c>
      <c r="M17" s="139">
        <f>COUNTIF($J$7:J17,"Y")</f>
        <v>0</v>
      </c>
    </row>
    <row r="18" spans="1:13" ht="12.75" x14ac:dyDescent="0.2">
      <c r="A18" s="139" t="str">
        <f t="shared" si="0"/>
        <v/>
      </c>
      <c r="B18" s="74"/>
      <c r="C18" s="75"/>
      <c r="D18" s="78"/>
      <c r="E18" s="79"/>
      <c r="F18" s="76" t="s">
        <v>8</v>
      </c>
      <c r="G18" s="77"/>
      <c r="H18" s="77"/>
      <c r="I18" s="77"/>
      <c r="J18" s="153" t="str">
        <f>IF(ISBLANK(B18),"",IF(K18&lt;Rec!$E$2,"Y","N"))</f>
        <v/>
      </c>
      <c r="M18" s="139">
        <f>COUNTIF($J$7:J18,"Y")</f>
        <v>0</v>
      </c>
    </row>
    <row r="19" spans="1:13" ht="12.75" x14ac:dyDescent="0.2">
      <c r="A19" s="139" t="str">
        <f t="shared" si="0"/>
        <v/>
      </c>
      <c r="B19" s="74"/>
      <c r="C19" s="75"/>
      <c r="D19" s="79"/>
      <c r="E19" s="79"/>
      <c r="F19" s="76"/>
      <c r="G19" s="77"/>
      <c r="H19" s="77"/>
      <c r="I19" s="77"/>
      <c r="J19" s="153" t="str">
        <f>IF(ISBLANK(B19),"",IF(K19&lt;Rec!$E$2,"Y","N"))</f>
        <v/>
      </c>
      <c r="M19" s="139">
        <f>COUNTIF($J$7:J19,"Y")</f>
        <v>0</v>
      </c>
    </row>
    <row r="20" spans="1:13" ht="12.75" x14ac:dyDescent="0.2">
      <c r="A20" s="139" t="str">
        <f t="shared" si="0"/>
        <v/>
      </c>
      <c r="B20" s="74"/>
      <c r="C20" s="75"/>
      <c r="D20" s="79"/>
      <c r="E20" s="79"/>
      <c r="F20" s="76"/>
      <c r="G20" s="77"/>
      <c r="H20" s="77"/>
      <c r="I20" s="77"/>
      <c r="J20" s="153" t="str">
        <f>IF(ISBLANK(B20),"",IF(K20&lt;Rec!$E$2,"Y","N"))</f>
        <v/>
      </c>
      <c r="M20" s="139">
        <f>COUNTIF($J$7:J20,"Y")</f>
        <v>0</v>
      </c>
    </row>
    <row r="21" spans="1:13" ht="12.75" x14ac:dyDescent="0.2">
      <c r="A21" s="139" t="str">
        <f t="shared" si="0"/>
        <v/>
      </c>
      <c r="B21" s="74"/>
      <c r="C21" s="75"/>
      <c r="D21" s="79"/>
      <c r="E21" s="79"/>
      <c r="F21" s="76"/>
      <c r="G21" s="77"/>
      <c r="H21" s="77"/>
      <c r="I21" s="77"/>
      <c r="J21" s="153" t="str">
        <f>IF(ISBLANK(B21),"",IF(K21&lt;Rec!$E$2,"Y","N"))</f>
        <v/>
      </c>
      <c r="M21" s="139">
        <f>COUNTIF($J$7:J21,"Y")</f>
        <v>0</v>
      </c>
    </row>
    <row r="22" spans="1:13" ht="12.75" x14ac:dyDescent="0.2">
      <c r="A22" s="139" t="str">
        <f t="shared" si="0"/>
        <v/>
      </c>
      <c r="B22" s="74"/>
      <c r="C22" s="75"/>
      <c r="D22" s="79"/>
      <c r="E22" s="79"/>
      <c r="F22" s="76"/>
      <c r="G22" s="77"/>
      <c r="H22" s="77"/>
      <c r="I22" s="77"/>
      <c r="J22" s="153" t="str">
        <f>IF(ISBLANK(B22),"",IF(K22&lt;Rec!$E$2,"Y","N"))</f>
        <v/>
      </c>
      <c r="M22" s="139">
        <f>COUNTIF($J$7:J22,"Y")</f>
        <v>0</v>
      </c>
    </row>
    <row r="23" spans="1:13" ht="12.75" x14ac:dyDescent="0.2">
      <c r="A23" s="139" t="str">
        <f t="shared" si="0"/>
        <v/>
      </c>
      <c r="B23" s="74"/>
      <c r="C23" s="75"/>
      <c r="D23" s="79"/>
      <c r="E23" s="79"/>
      <c r="F23" s="76"/>
      <c r="G23" s="77"/>
      <c r="H23" s="77"/>
      <c r="I23" s="77"/>
      <c r="J23" s="153" t="str">
        <f>IF(ISBLANK(B23),"",IF(K23&lt;Rec!$E$2,"Y","N"))</f>
        <v/>
      </c>
      <c r="M23" s="139">
        <f>COUNTIF($J$7:J23,"Y")</f>
        <v>0</v>
      </c>
    </row>
    <row r="24" spans="1:13" ht="12.75" x14ac:dyDescent="0.2">
      <c r="A24" s="139" t="str">
        <f t="shared" si="0"/>
        <v/>
      </c>
      <c r="B24" s="74"/>
      <c r="C24" s="75"/>
      <c r="D24" s="79"/>
      <c r="E24" s="79"/>
      <c r="F24" s="76"/>
      <c r="G24" s="77"/>
      <c r="H24" s="77"/>
      <c r="I24" s="77"/>
      <c r="J24" s="153" t="str">
        <f>IF(ISBLANK(B24),"",IF(K24&lt;Rec!$E$2,"Y","N"))</f>
        <v/>
      </c>
      <c r="M24" s="139">
        <f>COUNTIF($J$7:J24,"Y")</f>
        <v>0</v>
      </c>
    </row>
    <row r="25" spans="1:13" ht="12.75" x14ac:dyDescent="0.2">
      <c r="A25" s="139" t="str">
        <f t="shared" si="0"/>
        <v/>
      </c>
      <c r="B25" s="74"/>
      <c r="C25" s="75"/>
      <c r="D25" s="79"/>
      <c r="E25" s="79"/>
      <c r="F25" s="76"/>
      <c r="G25" s="77"/>
      <c r="H25" s="77"/>
      <c r="I25" s="77"/>
      <c r="J25" s="153" t="str">
        <f>IF(ISBLANK(B25),"",IF(K25&lt;Rec!$E$2,"Y","N"))</f>
        <v/>
      </c>
      <c r="M25" s="139">
        <f>COUNTIF($J$7:J25,"Y")</f>
        <v>0</v>
      </c>
    </row>
    <row r="26" spans="1:13" ht="12.75" x14ac:dyDescent="0.2">
      <c r="A26" s="139" t="str">
        <f t="shared" si="0"/>
        <v/>
      </c>
      <c r="B26" s="74"/>
      <c r="C26" s="75"/>
      <c r="D26" s="79"/>
      <c r="E26" s="79"/>
      <c r="F26" s="76"/>
      <c r="G26" s="77"/>
      <c r="H26" s="77"/>
      <c r="I26" s="77"/>
      <c r="J26" s="153" t="str">
        <f>IF(ISBLANK(B26),"",IF(K26&lt;Rec!$E$2,"Y","N"))</f>
        <v/>
      </c>
      <c r="M26" s="139">
        <f>COUNTIF($J$7:J26,"Y")</f>
        <v>0</v>
      </c>
    </row>
    <row r="27" spans="1:13" ht="12.75" x14ac:dyDescent="0.2">
      <c r="A27" s="139" t="str">
        <f t="shared" si="0"/>
        <v/>
      </c>
      <c r="B27" s="74"/>
      <c r="C27" s="75"/>
      <c r="D27" s="79"/>
      <c r="E27" s="79"/>
      <c r="F27" s="76"/>
      <c r="G27" s="77"/>
      <c r="H27" s="77"/>
      <c r="I27" s="77"/>
      <c r="J27" s="153" t="str">
        <f>IF(ISBLANK(B27),"",IF(K27&lt;Rec!$E$2,"Y","N"))</f>
        <v/>
      </c>
      <c r="M27" s="139">
        <f>COUNTIF($J$7:J27,"Y")</f>
        <v>0</v>
      </c>
    </row>
    <row r="28" spans="1:13" ht="12.75" x14ac:dyDescent="0.2">
      <c r="A28" s="139" t="str">
        <f t="shared" si="0"/>
        <v/>
      </c>
      <c r="B28" s="74"/>
      <c r="C28" s="75"/>
      <c r="D28" s="78"/>
      <c r="E28" s="79"/>
      <c r="F28" s="76"/>
      <c r="G28" s="77"/>
      <c r="H28" s="77"/>
      <c r="I28" s="77"/>
      <c r="J28" s="153" t="str">
        <f>IF(ISBLANK(B28),"",IF(K28&lt;Rec!$E$2,"Y","N"))</f>
        <v/>
      </c>
      <c r="M28" s="139">
        <f>COUNTIF($J$7:J28,"Y")</f>
        <v>0</v>
      </c>
    </row>
    <row r="29" spans="1:13" ht="12.75" x14ac:dyDescent="0.2">
      <c r="A29" s="139" t="str">
        <f t="shared" si="0"/>
        <v/>
      </c>
      <c r="B29" s="74"/>
      <c r="C29" s="75"/>
      <c r="D29" s="81"/>
      <c r="E29" s="81"/>
      <c r="F29" s="76"/>
      <c r="G29" s="77"/>
      <c r="H29" s="77"/>
      <c r="I29" s="77"/>
      <c r="J29" s="153" t="str">
        <f>IF(ISBLANK(B29),"",IF(K29&lt;Rec!$E$2,"Y","N"))</f>
        <v/>
      </c>
      <c r="M29" s="139">
        <f>COUNTIF($J$7:J29,"Y")</f>
        <v>0</v>
      </c>
    </row>
    <row r="30" spans="1:13" ht="12.75" customHeight="1" x14ac:dyDescent="0.2">
      <c r="A30" s="139" t="str">
        <f t="shared" si="0"/>
        <v/>
      </c>
      <c r="B30" s="74"/>
      <c r="C30" s="75"/>
      <c r="D30" s="78"/>
      <c r="E30" s="79"/>
      <c r="F30" s="76"/>
      <c r="G30" s="77"/>
      <c r="H30" s="77"/>
      <c r="I30" s="77"/>
      <c r="J30" s="153" t="str">
        <f>IF(ISBLANK(B30),"",IF(K30&lt;Rec!$E$2,"Y","N"))</f>
        <v/>
      </c>
      <c r="M30" s="139">
        <f>COUNTIF($J$7:J30,"Y")</f>
        <v>0</v>
      </c>
    </row>
    <row r="31" spans="1:13" ht="12.75" customHeight="1" x14ac:dyDescent="0.2">
      <c r="A31" s="139" t="str">
        <f t="shared" si="0"/>
        <v/>
      </c>
      <c r="B31" s="74"/>
      <c r="C31" s="75"/>
      <c r="D31" s="81"/>
      <c r="E31" s="81"/>
      <c r="F31" s="81"/>
      <c r="G31" s="81"/>
      <c r="H31" s="81"/>
      <c r="I31" s="77"/>
      <c r="J31" s="153" t="str">
        <f>IF(ISBLANK(B31),"",IF(K31&lt;Rec!$E$2,"Y","N"))</f>
        <v/>
      </c>
      <c r="M31" s="139">
        <f>COUNTIF($J$7:J31,"Y")</f>
        <v>0</v>
      </c>
    </row>
    <row r="32" spans="1:13" ht="12.75" customHeight="1" x14ac:dyDescent="0.2">
      <c r="A32" s="139" t="str">
        <f t="shared" si="0"/>
        <v/>
      </c>
      <c r="B32" s="80"/>
      <c r="C32" s="75"/>
      <c r="D32" s="78"/>
      <c r="E32" s="79"/>
      <c r="F32" s="82"/>
      <c r="G32" s="77"/>
      <c r="H32" s="77"/>
      <c r="I32" s="77"/>
      <c r="J32" s="153" t="str">
        <f>IF(ISBLANK(B32),"",IF(K32&lt;Rec!$E$2,"Y","N"))</f>
        <v/>
      </c>
      <c r="M32" s="139">
        <f>COUNTIF($J$7:J32,"Y")</f>
        <v>0</v>
      </c>
    </row>
    <row r="33" spans="1:13" ht="12.75" customHeight="1" x14ac:dyDescent="0.2">
      <c r="A33" s="139" t="str">
        <f t="shared" si="0"/>
        <v/>
      </c>
      <c r="B33" s="74"/>
      <c r="C33" s="75"/>
      <c r="D33" s="78"/>
      <c r="E33" s="79"/>
      <c r="F33" s="76"/>
      <c r="G33" s="77"/>
      <c r="H33" s="77"/>
      <c r="I33" s="77"/>
      <c r="J33" s="153" t="str">
        <f>IF(ISBLANK(B33),"",IF(K33&lt;Rec!$E$2,"Y","N"))</f>
        <v/>
      </c>
      <c r="M33" s="139">
        <f>COUNTIF($J$7:J33,"Y")</f>
        <v>0</v>
      </c>
    </row>
    <row r="34" spans="1:13" ht="12.75" customHeight="1" x14ac:dyDescent="0.2">
      <c r="A34" s="139" t="str">
        <f t="shared" si="0"/>
        <v/>
      </c>
      <c r="B34" s="74"/>
      <c r="C34" s="75"/>
      <c r="D34" s="78"/>
      <c r="E34" s="79"/>
      <c r="F34" s="76"/>
      <c r="G34" s="77"/>
      <c r="H34" s="77"/>
      <c r="I34" s="77"/>
      <c r="J34" s="153" t="str">
        <f>IF(ISBLANK(B34),"",IF(K34&lt;Rec!$E$2,"Y","N"))</f>
        <v/>
      </c>
      <c r="M34" s="139">
        <f>COUNTIF($J$7:J34,"Y")</f>
        <v>0</v>
      </c>
    </row>
    <row r="35" spans="1:13" ht="12.75" x14ac:dyDescent="0.2">
      <c r="A35" s="139" t="str">
        <f t="shared" si="0"/>
        <v/>
      </c>
      <c r="B35" s="74"/>
      <c r="C35" s="83"/>
      <c r="D35" s="78"/>
      <c r="E35" s="79"/>
      <c r="F35" s="76"/>
      <c r="G35" s="77"/>
      <c r="H35" s="77"/>
      <c r="I35" s="77"/>
      <c r="J35" s="153" t="str">
        <f>IF(ISBLANK(B35),"",IF(K35&lt;Rec!$E$2,"Y","N"))</f>
        <v/>
      </c>
      <c r="M35" s="139">
        <f>COUNTIF($J$7:J35,"Y")</f>
        <v>0</v>
      </c>
    </row>
    <row r="36" spans="1:13" ht="12.75" x14ac:dyDescent="0.2">
      <c r="B36" s="80" t="s">
        <v>9</v>
      </c>
      <c r="C36" s="83"/>
      <c r="D36" s="85">
        <f>SUM(D8:D35)</f>
        <v>5992.87</v>
      </c>
      <c r="E36" s="85">
        <f t="shared" ref="E36:F36" si="1">SUM(E10:E35)</f>
        <v>0</v>
      </c>
      <c r="F36" s="85">
        <f t="shared" si="1"/>
        <v>0</v>
      </c>
      <c r="G36" s="85">
        <f>SUM(G8:G35)</f>
        <v>5170</v>
      </c>
      <c r="H36" s="85">
        <f>SUM(H8:H35)</f>
        <v>822.87</v>
      </c>
      <c r="I36" s="85"/>
      <c r="J36" s="143"/>
    </row>
    <row r="37" spans="1:13" ht="12.75" x14ac:dyDescent="0.2">
      <c r="B37" s="74"/>
      <c r="C37" s="83"/>
      <c r="D37" s="86"/>
      <c r="E37" s="86"/>
      <c r="F37" s="87"/>
      <c r="G37" s="88"/>
      <c r="H37" s="88"/>
      <c r="I37" s="88"/>
      <c r="J37" s="144"/>
    </row>
    <row r="38" spans="1:13" ht="12.75" customHeight="1" x14ac:dyDescent="0.2">
      <c r="B38" s="80"/>
      <c r="C38" s="83"/>
      <c r="D38" s="89"/>
      <c r="E38" s="89"/>
      <c r="F38" s="90"/>
      <c r="G38" s="83"/>
      <c r="H38" s="83"/>
      <c r="I38" s="83"/>
      <c r="J38" s="145"/>
    </row>
    <row r="39" spans="1:13" ht="12.75" x14ac:dyDescent="0.2">
      <c r="B39" s="74" t="s">
        <v>8</v>
      </c>
      <c r="C39" s="83"/>
      <c r="D39" s="89"/>
      <c r="E39" s="91"/>
      <c r="F39" s="92"/>
      <c r="G39" s="83"/>
      <c r="H39" s="83"/>
      <c r="I39" s="83"/>
      <c r="J39" s="145"/>
    </row>
    <row r="40" spans="1:13" s="96" customFormat="1" ht="12.75" x14ac:dyDescent="0.2">
      <c r="A40" s="142"/>
      <c r="B40" s="84"/>
      <c r="C40" s="93"/>
      <c r="D40" s="94"/>
      <c r="E40" s="94"/>
      <c r="F40" s="90"/>
      <c r="G40" s="95"/>
      <c r="H40" s="95"/>
      <c r="I40" s="95"/>
      <c r="J40" s="146"/>
      <c r="M40" s="142"/>
    </row>
    <row r="41" spans="1:13" ht="12.75" customHeight="1" x14ac:dyDescent="0.2">
      <c r="B41" s="147" t="s">
        <v>166</v>
      </c>
      <c r="D41" s="63"/>
      <c r="F41" s="65"/>
    </row>
    <row r="42" spans="1:13" ht="25.5" x14ac:dyDescent="0.2">
      <c r="A42" s="139" t="str">
        <f t="shared" ref="A42" si="2">IF(J42="Y",J42&amp;M42,"")</f>
        <v/>
      </c>
      <c r="B42" s="163" t="s">
        <v>119</v>
      </c>
      <c r="C42" s="196" t="s">
        <v>120</v>
      </c>
      <c r="D42" s="78">
        <v>36</v>
      </c>
      <c r="E42" s="79"/>
      <c r="F42" s="77"/>
      <c r="G42" s="77"/>
      <c r="H42" s="77">
        <v>36</v>
      </c>
      <c r="I42" s="77"/>
      <c r="J42" s="153" t="s">
        <v>58</v>
      </c>
      <c r="K42" s="148" t="s">
        <v>119</v>
      </c>
      <c r="M42" s="139">
        <f>COUNTIF($J$7:J42,"Y")</f>
        <v>0</v>
      </c>
    </row>
    <row r="43" spans="1:13" ht="12.75" customHeight="1" x14ac:dyDescent="0.2">
      <c r="B43" s="66"/>
      <c r="D43" s="63"/>
      <c r="F43" s="65"/>
    </row>
    <row r="44" spans="1:13" ht="12.75" customHeight="1" x14ac:dyDescent="0.2">
      <c r="B44" s="66"/>
      <c r="D44" s="63"/>
      <c r="F44" s="65"/>
    </row>
    <row r="45" spans="1:13" ht="12.75" customHeight="1" x14ac:dyDescent="0.2">
      <c r="B45" s="66"/>
      <c r="D45" s="63"/>
      <c r="F45" s="65"/>
    </row>
    <row r="46" spans="1:13" ht="12.75" customHeight="1" x14ac:dyDescent="0.2">
      <c r="B46" s="66"/>
      <c r="D46" s="63"/>
      <c r="F46" s="65"/>
    </row>
    <row r="47" spans="1:13" ht="12.75" customHeight="1" x14ac:dyDescent="0.2">
      <c r="B47" s="66"/>
      <c r="D47" s="63"/>
      <c r="F47" s="65"/>
    </row>
    <row r="48" spans="1:13" ht="12.75" customHeight="1" x14ac:dyDescent="0.2">
      <c r="B48" s="66"/>
      <c r="D48" s="63"/>
      <c r="F48" s="65"/>
    </row>
    <row r="49" spans="2:6" ht="12.75" customHeight="1" x14ac:dyDescent="0.2">
      <c r="B49" s="66"/>
      <c r="D49" s="63"/>
      <c r="F49" s="65"/>
    </row>
    <row r="50" spans="2:6" ht="12.75" customHeight="1" x14ac:dyDescent="0.2">
      <c r="B50" s="66"/>
      <c r="D50" s="63"/>
      <c r="F50" s="65"/>
    </row>
    <row r="51" spans="2:6" ht="12.75" customHeight="1" x14ac:dyDescent="0.2">
      <c r="B51" s="66"/>
      <c r="D51" s="63"/>
      <c r="F51" s="65"/>
    </row>
    <row r="52" spans="2:6" ht="12.75" customHeight="1" x14ac:dyDescent="0.2">
      <c r="B52" s="66"/>
      <c r="D52" s="63"/>
      <c r="F52" s="65"/>
    </row>
    <row r="53" spans="2:6" ht="12.75" customHeight="1" x14ac:dyDescent="0.2">
      <c r="B53" s="66"/>
      <c r="D53" s="63"/>
      <c r="F53" s="65"/>
    </row>
    <row r="54" spans="2:6" ht="12.75" customHeight="1" x14ac:dyDescent="0.2">
      <c r="B54" s="66"/>
      <c r="D54" s="63"/>
      <c r="F54" s="65"/>
    </row>
    <row r="55" spans="2:6" ht="12.75" customHeight="1" x14ac:dyDescent="0.2">
      <c r="B55" s="66"/>
      <c r="D55" s="63"/>
      <c r="F55" s="65"/>
    </row>
    <row r="56" spans="2:6" ht="12.75" customHeight="1" x14ac:dyDescent="0.2">
      <c r="B56" s="66"/>
      <c r="D56" s="63"/>
      <c r="F56" s="65"/>
    </row>
    <row r="57" spans="2:6" ht="12.75" customHeight="1" x14ac:dyDescent="0.2">
      <c r="B57" s="66"/>
      <c r="D57" s="63"/>
      <c r="F57" s="65"/>
    </row>
    <row r="58" spans="2:6" ht="12.75" customHeight="1" x14ac:dyDescent="0.2">
      <c r="B58" s="66"/>
      <c r="D58" s="63"/>
      <c r="F58" s="65"/>
    </row>
    <row r="59" spans="2:6" ht="12.75" customHeight="1" x14ac:dyDescent="0.2">
      <c r="B59" s="66"/>
      <c r="D59" s="63"/>
      <c r="F59" s="65"/>
    </row>
    <row r="60" spans="2:6" ht="12.75" customHeight="1" x14ac:dyDescent="0.2">
      <c r="B60" s="66"/>
      <c r="D60" s="63"/>
      <c r="F60" s="65"/>
    </row>
    <row r="61" spans="2:6" ht="12.75" customHeight="1" x14ac:dyDescent="0.2">
      <c r="B61" s="66"/>
      <c r="D61" s="63"/>
      <c r="F61" s="65"/>
    </row>
    <row r="62" spans="2:6" ht="12.75" customHeight="1" x14ac:dyDescent="0.2">
      <c r="B62" s="66"/>
      <c r="D62" s="63"/>
      <c r="F62" s="65"/>
    </row>
    <row r="63" spans="2:6" ht="12.75" customHeight="1" x14ac:dyDescent="0.2">
      <c r="B63" s="66"/>
      <c r="D63" s="63"/>
      <c r="F63" s="65"/>
    </row>
    <row r="64" spans="2:6" ht="12.75" customHeight="1" x14ac:dyDescent="0.2">
      <c r="B64" s="66"/>
      <c r="D64" s="63"/>
      <c r="F64" s="65"/>
    </row>
    <row r="65" spans="2:6" ht="12.75" customHeight="1" x14ac:dyDescent="0.2">
      <c r="B65" s="66"/>
      <c r="D65" s="63"/>
      <c r="F65" s="65"/>
    </row>
    <row r="66" spans="2:6" ht="12.75" customHeight="1" x14ac:dyDescent="0.2">
      <c r="B66" s="66"/>
      <c r="D66" s="63"/>
      <c r="F66" s="65"/>
    </row>
    <row r="67" spans="2:6" ht="12.75" customHeight="1" x14ac:dyDescent="0.2">
      <c r="B67" s="66"/>
      <c r="D67" s="63"/>
      <c r="F67" s="65"/>
    </row>
    <row r="68" spans="2:6" ht="12.75" customHeight="1" x14ac:dyDescent="0.2">
      <c r="B68" s="66"/>
      <c r="D68" s="63"/>
      <c r="F68" s="65"/>
    </row>
    <row r="69" spans="2:6" ht="12.75" customHeight="1" x14ac:dyDescent="0.2">
      <c r="B69" s="66"/>
      <c r="D69" s="63"/>
      <c r="F69" s="65"/>
    </row>
    <row r="70" spans="2:6" ht="12.75" customHeight="1" x14ac:dyDescent="0.2">
      <c r="B70" s="66"/>
      <c r="D70" s="63"/>
      <c r="F70" s="65"/>
    </row>
    <row r="71" spans="2:6" ht="12.75" customHeight="1" x14ac:dyDescent="0.2">
      <c r="B71" s="66"/>
      <c r="D71" s="63"/>
      <c r="F71" s="65"/>
    </row>
    <row r="72" spans="2:6" ht="12.75" customHeight="1" x14ac:dyDescent="0.2">
      <c r="B72" s="66"/>
      <c r="D72" s="63"/>
      <c r="F72" s="65"/>
    </row>
    <row r="73" spans="2:6" ht="12.75" customHeight="1" x14ac:dyDescent="0.2">
      <c r="B73" s="66"/>
      <c r="D73" s="63"/>
      <c r="F73" s="65"/>
    </row>
    <row r="74" spans="2:6" ht="12.75" customHeight="1" x14ac:dyDescent="0.2">
      <c r="B74" s="66"/>
      <c r="D74" s="63"/>
      <c r="F74" s="65"/>
    </row>
    <row r="75" spans="2:6" ht="12.75" customHeight="1" x14ac:dyDescent="0.2">
      <c r="B75" s="66"/>
      <c r="D75" s="63"/>
      <c r="F75" s="65"/>
    </row>
    <row r="76" spans="2:6" ht="12.75" customHeight="1" x14ac:dyDescent="0.2">
      <c r="B76" s="66"/>
      <c r="D76" s="63"/>
      <c r="F76" s="65"/>
    </row>
    <row r="77" spans="2:6" ht="12.75" customHeight="1" x14ac:dyDescent="0.2">
      <c r="B77" s="66"/>
      <c r="D77" s="63"/>
      <c r="F77" s="65"/>
    </row>
    <row r="78" spans="2:6" ht="12.75" customHeight="1" x14ac:dyDescent="0.2">
      <c r="B78" s="66"/>
      <c r="D78" s="63"/>
      <c r="F78" s="65"/>
    </row>
    <row r="79" spans="2:6" ht="12.75" customHeight="1" x14ac:dyDescent="0.2">
      <c r="B79" s="66"/>
      <c r="D79" s="63"/>
      <c r="F79" s="65"/>
    </row>
    <row r="80" spans="2:6" ht="12.75" customHeight="1" x14ac:dyDescent="0.2">
      <c r="B80" s="66"/>
      <c r="D80" s="63"/>
      <c r="F80" s="65"/>
    </row>
    <row r="81" spans="2:6" ht="12.75" customHeight="1" x14ac:dyDescent="0.2">
      <c r="B81" s="66"/>
      <c r="D81" s="63"/>
      <c r="F81" s="65"/>
    </row>
    <row r="82" spans="2:6" ht="12.75" customHeight="1" x14ac:dyDescent="0.2">
      <c r="B82" s="66"/>
      <c r="D82" s="63"/>
      <c r="F82" s="65"/>
    </row>
    <row r="83" spans="2:6" ht="12.75" customHeight="1" x14ac:dyDescent="0.2">
      <c r="B83" s="66"/>
      <c r="D83" s="63"/>
      <c r="F83" s="65"/>
    </row>
    <row r="84" spans="2:6" ht="12.75" customHeight="1" x14ac:dyDescent="0.2">
      <c r="B84" s="66"/>
      <c r="D84" s="63"/>
      <c r="F84" s="65"/>
    </row>
    <row r="85" spans="2:6" ht="12.75" customHeight="1" x14ac:dyDescent="0.2">
      <c r="B85" s="66"/>
      <c r="D85" s="63"/>
      <c r="F85" s="65"/>
    </row>
    <row r="86" spans="2:6" ht="12.75" customHeight="1" x14ac:dyDescent="0.2">
      <c r="B86" s="66"/>
      <c r="D86" s="63"/>
      <c r="F86" s="65"/>
    </row>
    <row r="87" spans="2:6" ht="12.75" customHeight="1" x14ac:dyDescent="0.2">
      <c r="B87" s="66"/>
      <c r="D87" s="63"/>
      <c r="F87" s="65"/>
    </row>
    <row r="88" spans="2:6" ht="12.75" customHeight="1" x14ac:dyDescent="0.2">
      <c r="B88" s="66"/>
      <c r="D88" s="63"/>
      <c r="F88" s="65"/>
    </row>
    <row r="89" spans="2:6" ht="12.75" customHeight="1" x14ac:dyDescent="0.2">
      <c r="B89" s="66"/>
      <c r="D89" s="63"/>
      <c r="F89" s="65"/>
    </row>
  </sheetData>
  <sheetProtection selectLockedCells="1" selectUnlockedCells="1"/>
  <mergeCells count="2">
    <mergeCell ref="B1:C1"/>
    <mergeCell ref="B3:C3"/>
  </mergeCells>
  <pageMargins left="0.7" right="0.7" top="0.75" bottom="0.75" header="0.3" footer="0.3"/>
  <pageSetup paperSize="9" scale="74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14"/>
  <sheetViews>
    <sheetView tabSelected="1" zoomScale="90" zoomScaleNormal="90" workbookViewId="0">
      <pane xSplit="6" ySplit="7" topLeftCell="G65" activePane="bottomRight" state="frozen"/>
      <selection pane="topRight" activeCell="F1" sqref="F1"/>
      <selection pane="bottomLeft" activeCell="A41" sqref="A41"/>
      <selection pane="bottomRight" activeCell="E80" sqref="E80"/>
    </sheetView>
  </sheetViews>
  <sheetFormatPr defaultColWidth="11.5703125" defaultRowHeight="12.95" customHeight="1" x14ac:dyDescent="0.2"/>
  <cols>
    <col min="1" max="1" width="4.7109375" style="140" customWidth="1"/>
    <col min="2" max="2" width="12.85546875" style="6" customWidth="1"/>
    <col min="3" max="3" width="19.42578125" style="1" customWidth="1"/>
    <col min="4" max="4" width="12.85546875" style="1" customWidth="1"/>
    <col min="5" max="5" width="28.140625" style="1" customWidth="1"/>
    <col min="6" max="7" width="12.28515625" style="7" customWidth="1"/>
    <col min="8" max="8" width="12.28515625" style="8" customWidth="1"/>
    <col min="9" max="9" width="12.7109375" style="8" customWidth="1"/>
    <col min="10" max="10" width="11.7109375" style="8" customWidth="1"/>
    <col min="11" max="12" width="12.28515625" style="8" customWidth="1"/>
    <col min="13" max="15" width="13.140625" style="8" customWidth="1"/>
    <col min="17" max="17" width="7.42578125" customWidth="1"/>
    <col min="18" max="18" width="14.28515625" style="136" customWidth="1"/>
    <col min="19" max="19" width="14.28515625" style="38" customWidth="1"/>
    <col min="20" max="20" width="12.85546875" style="140" customWidth="1"/>
    <col min="21" max="21" width="12.85546875" customWidth="1"/>
  </cols>
  <sheetData>
    <row r="1" spans="1:20" ht="15.6" customHeight="1" x14ac:dyDescent="0.25">
      <c r="B1" s="217" t="s">
        <v>0</v>
      </c>
      <c r="C1" s="217"/>
      <c r="D1" s="217"/>
      <c r="E1" s="217"/>
      <c r="F1" s="217"/>
      <c r="G1" s="218" t="s">
        <v>66</v>
      </c>
      <c r="H1" s="218"/>
      <c r="I1" s="218"/>
      <c r="P1" s="2"/>
      <c r="Q1" s="2"/>
      <c r="R1" s="131"/>
      <c r="S1" s="64" t="s">
        <v>53</v>
      </c>
      <c r="T1" s="137"/>
    </row>
    <row r="2" spans="1:20" ht="12.75" x14ac:dyDescent="0.2">
      <c r="B2" s="9"/>
      <c r="P2" s="2"/>
      <c r="Q2" s="2"/>
      <c r="R2" s="131"/>
      <c r="S2" s="64"/>
      <c r="T2" s="137"/>
    </row>
    <row r="3" spans="1:20" ht="12.75" customHeight="1" x14ac:dyDescent="0.2">
      <c r="B3" s="215" t="s">
        <v>8</v>
      </c>
      <c r="C3" s="215"/>
      <c r="D3" s="215"/>
      <c r="P3" s="2"/>
      <c r="Q3" s="2"/>
      <c r="R3" s="131"/>
      <c r="S3" s="64"/>
      <c r="T3" s="137"/>
    </row>
    <row r="4" spans="1:20" ht="12.75" x14ac:dyDescent="0.2">
      <c r="B4" s="9"/>
      <c r="P4" s="2"/>
      <c r="Q4" s="2"/>
      <c r="R4" s="131"/>
      <c r="S4" s="64"/>
      <c r="T4" s="137"/>
    </row>
    <row r="5" spans="1:20" ht="13.35" customHeight="1" x14ac:dyDescent="0.2">
      <c r="B5" s="10" t="s">
        <v>10</v>
      </c>
      <c r="I5" s="11" t="s">
        <v>11</v>
      </c>
      <c r="P5" s="2"/>
      <c r="R5" s="132"/>
      <c r="S5" s="64"/>
      <c r="T5" s="137"/>
    </row>
    <row r="6" spans="1:20" ht="12.75" x14ac:dyDescent="0.2">
      <c r="B6" s="9"/>
      <c r="P6" s="2"/>
      <c r="Q6" s="2"/>
      <c r="R6" s="131"/>
      <c r="S6" s="64"/>
      <c r="T6" s="137"/>
    </row>
    <row r="7" spans="1:20" s="18" customFormat="1" ht="38.25" x14ac:dyDescent="0.2">
      <c r="A7" s="141" t="s">
        <v>54</v>
      </c>
      <c r="B7" s="12" t="s">
        <v>42</v>
      </c>
      <c r="C7" s="13" t="s">
        <v>3</v>
      </c>
      <c r="D7" s="14" t="s">
        <v>12</v>
      </c>
      <c r="E7" s="13" t="s">
        <v>13</v>
      </c>
      <c r="F7" s="15" t="s">
        <v>4</v>
      </c>
      <c r="G7" s="15" t="s">
        <v>5</v>
      </c>
      <c r="H7" s="16" t="s">
        <v>14</v>
      </c>
      <c r="I7" s="16" t="s">
        <v>2</v>
      </c>
      <c r="J7" s="16" t="s">
        <v>15</v>
      </c>
      <c r="K7" s="25"/>
      <c r="L7" s="16" t="s">
        <v>16</v>
      </c>
      <c r="M7" s="16" t="s">
        <v>7</v>
      </c>
      <c r="N7" s="16" t="s">
        <v>96</v>
      </c>
      <c r="O7" s="16" t="s">
        <v>17</v>
      </c>
      <c r="P7" s="17" t="s">
        <v>18</v>
      </c>
      <c r="Q7" s="17"/>
      <c r="R7" s="133" t="s">
        <v>48</v>
      </c>
      <c r="S7" s="130" t="s">
        <v>41</v>
      </c>
      <c r="T7" s="138" t="s">
        <v>50</v>
      </c>
    </row>
    <row r="8" spans="1:20" s="18" customFormat="1" ht="12.75" x14ac:dyDescent="0.2">
      <c r="A8" s="141"/>
      <c r="B8" s="150" t="s">
        <v>73</v>
      </c>
      <c r="C8" s="149" t="s">
        <v>62</v>
      </c>
      <c r="D8" s="165" t="s">
        <v>60</v>
      </c>
      <c r="E8" s="166" t="s">
        <v>61</v>
      </c>
      <c r="F8" s="175">
        <v>144.66</v>
      </c>
      <c r="G8" s="15"/>
      <c r="H8" s="16"/>
      <c r="I8" s="176" t="s">
        <v>73</v>
      </c>
      <c r="J8" s="177" t="s">
        <v>77</v>
      </c>
      <c r="K8" s="25"/>
      <c r="L8" s="156">
        <v>144.66</v>
      </c>
      <c r="M8" s="156"/>
      <c r="N8" s="156"/>
      <c r="O8" s="16"/>
      <c r="P8" s="17"/>
      <c r="Q8" s="17"/>
      <c r="R8" s="174" t="s">
        <v>58</v>
      </c>
      <c r="S8" s="130" t="s">
        <v>110</v>
      </c>
      <c r="T8" s="138"/>
    </row>
    <row r="9" spans="1:20" s="18" customFormat="1" ht="12.75" x14ac:dyDescent="0.2">
      <c r="A9" s="141"/>
      <c r="B9" s="167" t="s">
        <v>73</v>
      </c>
      <c r="C9" s="166" t="s">
        <v>59</v>
      </c>
      <c r="D9" s="165" t="s">
        <v>60</v>
      </c>
      <c r="E9" s="166" t="s">
        <v>74</v>
      </c>
      <c r="F9" s="175">
        <v>36</v>
      </c>
      <c r="G9" s="172"/>
      <c r="H9" s="164"/>
      <c r="I9" s="176" t="s">
        <v>73</v>
      </c>
      <c r="J9" s="177" t="s">
        <v>77</v>
      </c>
      <c r="K9" s="25"/>
      <c r="L9" s="156">
        <v>36</v>
      </c>
      <c r="M9" s="164"/>
      <c r="N9" s="164"/>
      <c r="O9" s="164"/>
      <c r="P9" s="168"/>
      <c r="Q9" s="168"/>
      <c r="R9" s="174" t="s">
        <v>58</v>
      </c>
      <c r="S9" s="130" t="s">
        <v>110</v>
      </c>
      <c r="T9" s="169"/>
    </row>
    <row r="10" spans="1:20" s="18" customFormat="1" ht="12.75" x14ac:dyDescent="0.2">
      <c r="A10" s="141"/>
      <c r="B10" s="167" t="s">
        <v>73</v>
      </c>
      <c r="C10" s="166" t="s">
        <v>113</v>
      </c>
      <c r="D10" s="165" t="s">
        <v>60</v>
      </c>
      <c r="E10" s="166" t="s">
        <v>80</v>
      </c>
      <c r="F10" s="175">
        <v>57.11</v>
      </c>
      <c r="G10" s="172"/>
      <c r="H10" s="210">
        <v>7.11</v>
      </c>
      <c r="I10" s="176" t="s">
        <v>73</v>
      </c>
      <c r="J10" s="177" t="s">
        <v>77</v>
      </c>
      <c r="K10" s="25"/>
      <c r="L10" s="156"/>
      <c r="M10" s="156">
        <v>57.11</v>
      </c>
      <c r="N10" s="164"/>
      <c r="O10" s="164"/>
      <c r="P10" s="168"/>
      <c r="Q10" s="168"/>
      <c r="R10" s="174" t="s">
        <v>58</v>
      </c>
      <c r="S10" s="130" t="s">
        <v>110</v>
      </c>
      <c r="T10" s="169"/>
    </row>
    <row r="11" spans="1:20" s="18" customFormat="1" ht="12.75" x14ac:dyDescent="0.2">
      <c r="A11" s="141"/>
      <c r="B11" s="167" t="s">
        <v>73</v>
      </c>
      <c r="C11" s="166" t="s">
        <v>87</v>
      </c>
      <c r="D11" s="165" t="s">
        <v>60</v>
      </c>
      <c r="E11" s="166" t="s">
        <v>112</v>
      </c>
      <c r="F11" s="175">
        <v>14.91</v>
      </c>
      <c r="G11" s="172"/>
      <c r="H11" s="164"/>
      <c r="I11" s="176" t="s">
        <v>73</v>
      </c>
      <c r="J11" s="177" t="s">
        <v>77</v>
      </c>
      <c r="K11" s="25"/>
      <c r="L11" s="156"/>
      <c r="M11" s="156">
        <v>14.91</v>
      </c>
      <c r="N11" s="164"/>
      <c r="O11" s="164"/>
      <c r="P11" s="168"/>
      <c r="Q11" s="168"/>
      <c r="R11" s="174" t="s">
        <v>58</v>
      </c>
      <c r="S11" s="130" t="s">
        <v>110</v>
      </c>
      <c r="T11" s="169"/>
    </row>
    <row r="12" spans="1:20" s="18" customFormat="1" ht="12.75" x14ac:dyDescent="0.2">
      <c r="A12" s="141"/>
      <c r="B12" s="167" t="s">
        <v>73</v>
      </c>
      <c r="C12" s="166" t="s">
        <v>75</v>
      </c>
      <c r="D12" s="165" t="s">
        <v>60</v>
      </c>
      <c r="E12" s="189" t="s">
        <v>76</v>
      </c>
      <c r="F12" s="175">
        <v>100</v>
      </c>
      <c r="G12" s="172"/>
      <c r="H12" s="164"/>
      <c r="I12" s="176" t="s">
        <v>73</v>
      </c>
      <c r="J12" s="177" t="s">
        <v>77</v>
      </c>
      <c r="K12" s="25"/>
      <c r="L12" s="156"/>
      <c r="M12" s="156">
        <v>100</v>
      </c>
      <c r="N12" s="156"/>
      <c r="O12" s="164"/>
      <c r="P12" s="168"/>
      <c r="Q12" s="168"/>
      <c r="R12" s="174" t="s">
        <v>58</v>
      </c>
      <c r="S12" s="130" t="s">
        <v>110</v>
      </c>
      <c r="T12" s="138"/>
    </row>
    <row r="13" spans="1:20" s="18" customFormat="1" ht="12.75" x14ac:dyDescent="0.2">
      <c r="A13" s="141"/>
      <c r="B13" s="167" t="s">
        <v>78</v>
      </c>
      <c r="C13" s="166" t="s">
        <v>79</v>
      </c>
      <c r="D13" s="165" t="s">
        <v>60</v>
      </c>
      <c r="E13" s="166" t="s">
        <v>80</v>
      </c>
      <c r="F13" s="175">
        <v>247.88</v>
      </c>
      <c r="G13" s="172"/>
      <c r="H13" s="164"/>
      <c r="I13" s="176" t="s">
        <v>81</v>
      </c>
      <c r="J13" s="198" t="s">
        <v>146</v>
      </c>
      <c r="K13" s="25"/>
      <c r="L13" s="164"/>
      <c r="M13" s="156">
        <v>247.88</v>
      </c>
      <c r="N13" s="156"/>
      <c r="O13" s="164"/>
      <c r="P13" s="168"/>
      <c r="Q13" s="168"/>
      <c r="R13" s="174" t="s">
        <v>58</v>
      </c>
      <c r="S13" s="130" t="s">
        <v>111</v>
      </c>
      <c r="T13" s="138"/>
    </row>
    <row r="14" spans="1:20" s="18" customFormat="1" ht="12.75" x14ac:dyDescent="0.2">
      <c r="A14" s="141"/>
      <c r="B14" s="167" t="s">
        <v>78</v>
      </c>
      <c r="C14" s="166" t="s">
        <v>62</v>
      </c>
      <c r="D14" s="165" t="s">
        <v>60</v>
      </c>
      <c r="E14" s="166" t="s">
        <v>82</v>
      </c>
      <c r="F14" s="175">
        <v>144.66</v>
      </c>
      <c r="G14" s="172"/>
      <c r="H14" s="164"/>
      <c r="I14" s="176" t="s">
        <v>81</v>
      </c>
      <c r="J14" s="198" t="s">
        <v>146</v>
      </c>
      <c r="K14" s="25"/>
      <c r="L14" s="177">
        <v>144.66</v>
      </c>
      <c r="M14" s="156"/>
      <c r="N14" s="156"/>
      <c r="O14" s="164"/>
      <c r="P14" s="168"/>
      <c r="Q14" s="168"/>
      <c r="R14" s="174" t="s">
        <v>58</v>
      </c>
      <c r="S14" s="130" t="s">
        <v>111</v>
      </c>
      <c r="T14" s="138"/>
    </row>
    <row r="15" spans="1:20" s="18" customFormat="1" ht="12.75" x14ac:dyDescent="0.2">
      <c r="A15" s="141"/>
      <c r="B15" s="150" t="s">
        <v>78</v>
      </c>
      <c r="C15" s="149" t="s">
        <v>59</v>
      </c>
      <c r="D15" s="173" t="s">
        <v>60</v>
      </c>
      <c r="E15" s="149" t="s">
        <v>83</v>
      </c>
      <c r="F15" s="158">
        <v>36</v>
      </c>
      <c r="G15" s="15"/>
      <c r="H15" s="156"/>
      <c r="I15" s="176" t="s">
        <v>81</v>
      </c>
      <c r="J15" s="198" t="s">
        <v>146</v>
      </c>
      <c r="K15" s="25"/>
      <c r="L15" s="156">
        <v>36</v>
      </c>
      <c r="M15" s="156"/>
      <c r="N15" s="156"/>
      <c r="O15" s="16"/>
      <c r="P15" s="17"/>
      <c r="Q15" s="17"/>
      <c r="R15" s="134" t="s">
        <v>58</v>
      </c>
      <c r="S15" s="154" t="s">
        <v>111</v>
      </c>
      <c r="T15" s="138"/>
    </row>
    <row r="16" spans="1:20" ht="12.75" customHeight="1" x14ac:dyDescent="0.2">
      <c r="A16" s="140" t="str">
        <f>IF(R16="Y",R16&amp;T16,"")</f>
        <v/>
      </c>
      <c r="B16" s="26" t="s">
        <v>78</v>
      </c>
      <c r="C16" s="19" t="s">
        <v>84</v>
      </c>
      <c r="D16" s="173" t="s">
        <v>60</v>
      </c>
      <c r="E16" s="19" t="s">
        <v>85</v>
      </c>
      <c r="F16" s="53">
        <v>60.98</v>
      </c>
      <c r="G16" s="170"/>
      <c r="H16" s="171">
        <v>10.16</v>
      </c>
      <c r="I16" s="176" t="s">
        <v>81</v>
      </c>
      <c r="J16" s="198" t="s">
        <v>146</v>
      </c>
      <c r="K16" s="22"/>
      <c r="L16" s="23"/>
      <c r="M16" s="23"/>
      <c r="N16" s="23">
        <v>60.98</v>
      </c>
      <c r="O16" s="23"/>
      <c r="P16" s="23"/>
      <c r="Q16" s="23"/>
      <c r="R16" s="134" t="s">
        <v>58</v>
      </c>
      <c r="S16" s="147" t="s">
        <v>111</v>
      </c>
      <c r="T16" s="139">
        <f>COUNTIF(R$7:R16,"Y")</f>
        <v>0</v>
      </c>
    </row>
    <row r="17" spans="1:30" ht="12.75" customHeight="1" x14ac:dyDescent="0.2">
      <c r="A17" s="140" t="str">
        <f t="shared" ref="A17:A71" si="0">IF(R17="Y",R17&amp;T17,"")</f>
        <v/>
      </c>
      <c r="B17" s="26" t="s">
        <v>78</v>
      </c>
      <c r="C17" s="19" t="s">
        <v>84</v>
      </c>
      <c r="D17" s="173" t="s">
        <v>60</v>
      </c>
      <c r="E17" s="161" t="s">
        <v>86</v>
      </c>
      <c r="F17" s="188">
        <v>38.9</v>
      </c>
      <c r="G17" s="56"/>
      <c r="H17" s="57">
        <v>6.48</v>
      </c>
      <c r="I17" s="176" t="s">
        <v>81</v>
      </c>
      <c r="J17" s="198" t="s">
        <v>146</v>
      </c>
      <c r="K17" s="22"/>
      <c r="L17" s="23"/>
      <c r="M17" s="23"/>
      <c r="N17" s="23">
        <v>38.9</v>
      </c>
      <c r="O17" s="23"/>
      <c r="P17" s="23"/>
      <c r="Q17" s="23"/>
      <c r="R17" s="134" t="s">
        <v>58</v>
      </c>
      <c r="S17" s="147" t="s">
        <v>111</v>
      </c>
      <c r="T17" s="139">
        <f>COUNTIF(R$7:R17,"Y")</f>
        <v>0</v>
      </c>
    </row>
    <row r="18" spans="1:30" ht="12.75" customHeight="1" x14ac:dyDescent="0.2">
      <c r="A18" s="140" t="str">
        <f t="shared" si="0"/>
        <v/>
      </c>
      <c r="B18" s="26" t="s">
        <v>78</v>
      </c>
      <c r="C18" s="19" t="s">
        <v>87</v>
      </c>
      <c r="D18" s="173" t="s">
        <v>60</v>
      </c>
      <c r="E18" s="161" t="s">
        <v>88</v>
      </c>
      <c r="F18" s="209">
        <v>244.75</v>
      </c>
      <c r="G18" s="56"/>
      <c r="H18" s="211"/>
      <c r="I18" s="199" t="s">
        <v>143</v>
      </c>
      <c r="J18" s="198" t="s">
        <v>150</v>
      </c>
      <c r="K18" s="22"/>
      <c r="L18" s="23"/>
      <c r="M18" s="23"/>
      <c r="N18" s="23"/>
      <c r="O18" s="23"/>
      <c r="P18" s="23">
        <v>244.75</v>
      </c>
      <c r="Q18" s="23"/>
      <c r="R18" s="134" t="s">
        <v>58</v>
      </c>
      <c r="S18" s="147" t="s">
        <v>111</v>
      </c>
      <c r="T18" s="139">
        <f>COUNTIF(R$7:R18,"Y")</f>
        <v>0</v>
      </c>
    </row>
    <row r="19" spans="1:30" ht="12.75" x14ac:dyDescent="0.2">
      <c r="A19" s="140" t="str">
        <f t="shared" si="0"/>
        <v/>
      </c>
      <c r="B19" s="26" t="s">
        <v>78</v>
      </c>
      <c r="C19" s="19" t="s">
        <v>89</v>
      </c>
      <c r="D19" s="173" t="s">
        <v>60</v>
      </c>
      <c r="E19" s="161" t="s">
        <v>90</v>
      </c>
      <c r="F19" s="200">
        <v>28.32</v>
      </c>
      <c r="G19" s="56"/>
      <c r="H19" s="211"/>
      <c r="I19" s="199" t="s">
        <v>143</v>
      </c>
      <c r="J19" s="177" t="s">
        <v>150</v>
      </c>
      <c r="K19" s="22"/>
      <c r="L19" s="23"/>
      <c r="M19" s="23">
        <v>28.32</v>
      </c>
      <c r="N19" s="23"/>
      <c r="O19" s="23"/>
      <c r="P19" s="23"/>
      <c r="Q19" s="23"/>
      <c r="R19" s="134" t="s">
        <v>58</v>
      </c>
      <c r="S19" s="147" t="s">
        <v>111</v>
      </c>
      <c r="T19" s="139">
        <f>COUNTIF(R$7:R19,"Y")</f>
        <v>0</v>
      </c>
    </row>
    <row r="20" spans="1:30" ht="12.75" x14ac:dyDescent="0.2">
      <c r="A20" s="140" t="str">
        <f t="shared" si="0"/>
        <v/>
      </c>
      <c r="B20" s="26" t="s">
        <v>101</v>
      </c>
      <c r="C20" s="19" t="s">
        <v>97</v>
      </c>
      <c r="D20" s="173" t="s">
        <v>60</v>
      </c>
      <c r="E20" s="161" t="s">
        <v>95</v>
      </c>
      <c r="F20" s="200">
        <v>16.72</v>
      </c>
      <c r="G20" s="56"/>
      <c r="H20" s="211"/>
      <c r="I20" s="199" t="s">
        <v>143</v>
      </c>
      <c r="J20" s="177" t="s">
        <v>150</v>
      </c>
      <c r="K20" s="22"/>
      <c r="L20" s="23"/>
      <c r="M20" s="23"/>
      <c r="N20" s="23">
        <v>16.72</v>
      </c>
      <c r="O20" s="23"/>
      <c r="P20" s="3"/>
      <c r="Q20" s="22"/>
      <c r="R20" s="134" t="s">
        <v>58</v>
      </c>
      <c r="S20" s="147" t="s">
        <v>101</v>
      </c>
      <c r="T20" s="139">
        <f>COUNTIF(R$7:R20,"Y")</f>
        <v>0</v>
      </c>
    </row>
    <row r="21" spans="1:30" ht="12.75" x14ac:dyDescent="0.2">
      <c r="A21" s="140" t="str">
        <f t="shared" si="0"/>
        <v/>
      </c>
      <c r="B21" s="151" t="s">
        <v>101</v>
      </c>
      <c r="C21" s="59" t="s">
        <v>98</v>
      </c>
      <c r="D21" s="173" t="s">
        <v>99</v>
      </c>
      <c r="E21" s="201" t="s">
        <v>95</v>
      </c>
      <c r="F21" s="202">
        <v>27.07</v>
      </c>
      <c r="G21" s="60"/>
      <c r="H21" s="58"/>
      <c r="I21" s="199" t="s">
        <v>143</v>
      </c>
      <c r="J21" s="177" t="s">
        <v>150</v>
      </c>
      <c r="K21" s="22"/>
      <c r="L21" s="23"/>
      <c r="N21" s="8">
        <v>27.07</v>
      </c>
      <c r="O21" s="23"/>
      <c r="P21" s="3"/>
      <c r="Q21" s="23"/>
      <c r="R21" s="134" t="s">
        <v>58</v>
      </c>
      <c r="S21" s="147" t="s">
        <v>101</v>
      </c>
      <c r="T21" s="139">
        <f>COUNTIF(R$7:R21,"Y")</f>
        <v>0</v>
      </c>
    </row>
    <row r="22" spans="1:30" ht="12.75" customHeight="1" x14ac:dyDescent="0.2">
      <c r="A22" s="140" t="str">
        <f t="shared" si="0"/>
        <v/>
      </c>
      <c r="B22" s="62" t="s">
        <v>101</v>
      </c>
      <c r="C22" s="178" t="s">
        <v>98</v>
      </c>
      <c r="D22" s="173" t="s">
        <v>60</v>
      </c>
      <c r="E22" s="178" t="s">
        <v>100</v>
      </c>
      <c r="F22" s="203">
        <v>73.349999999999994</v>
      </c>
      <c r="G22" s="56"/>
      <c r="H22" s="211"/>
      <c r="I22" s="199" t="s">
        <v>143</v>
      </c>
      <c r="J22" s="177" t="s">
        <v>150</v>
      </c>
      <c r="K22" s="22" t="s">
        <v>8</v>
      </c>
      <c r="L22" s="23"/>
      <c r="M22" s="23"/>
      <c r="N22" s="23">
        <v>73.75</v>
      </c>
      <c r="O22" s="23"/>
      <c r="P22" s="3"/>
      <c r="Q22" s="23"/>
      <c r="R22" s="134" t="s">
        <v>58</v>
      </c>
      <c r="S22" s="147" t="s">
        <v>101</v>
      </c>
      <c r="T22" s="139">
        <f>COUNTIF(R$7:R22,"Y")</f>
        <v>0</v>
      </c>
    </row>
    <row r="23" spans="1:30" s="5" customFormat="1" ht="12.75" x14ac:dyDescent="0.2">
      <c r="A23" s="140" t="str">
        <f t="shared" si="0"/>
        <v/>
      </c>
      <c r="B23" s="61" t="s">
        <v>101</v>
      </c>
      <c r="C23" s="152" t="s">
        <v>102</v>
      </c>
      <c r="D23" s="173" t="s">
        <v>60</v>
      </c>
      <c r="E23" s="204" t="s">
        <v>95</v>
      </c>
      <c r="F23" s="205">
        <v>28.98</v>
      </c>
      <c r="G23" s="54"/>
      <c r="H23" s="55"/>
      <c r="I23" s="199" t="s">
        <v>143</v>
      </c>
      <c r="J23" s="177" t="s">
        <v>150</v>
      </c>
      <c r="K23" s="22"/>
      <c r="L23" s="23"/>
      <c r="M23" s="23"/>
      <c r="N23" s="23">
        <v>28.98</v>
      </c>
      <c r="O23" s="23"/>
      <c r="P23" s="3"/>
      <c r="Q23" s="31"/>
      <c r="R23" s="134" t="s">
        <v>58</v>
      </c>
      <c r="S23" s="147" t="s">
        <v>101</v>
      </c>
      <c r="T23" s="139">
        <f>COUNTIF(R$7:R23,"Y")</f>
        <v>0</v>
      </c>
      <c r="U23" s="2"/>
      <c r="V23"/>
      <c r="W23"/>
      <c r="X23"/>
      <c r="Y23"/>
      <c r="Z23"/>
      <c r="AA23"/>
      <c r="AB23"/>
      <c r="AC23"/>
      <c r="AD23" s="32"/>
    </row>
    <row r="24" spans="1:30" s="5" customFormat="1" ht="12.75" x14ac:dyDescent="0.2">
      <c r="A24" s="140" t="str">
        <f t="shared" si="0"/>
        <v/>
      </c>
      <c r="B24" s="30" t="s">
        <v>101</v>
      </c>
      <c r="C24" s="19" t="s">
        <v>103</v>
      </c>
      <c r="D24" s="173" t="s">
        <v>60</v>
      </c>
      <c r="E24" s="161" t="s">
        <v>95</v>
      </c>
      <c r="F24" s="206">
        <v>21.27</v>
      </c>
      <c r="G24" s="25"/>
      <c r="H24" s="23"/>
      <c r="I24" s="199" t="s">
        <v>143</v>
      </c>
      <c r="J24" s="177" t="s">
        <v>150</v>
      </c>
      <c r="K24" s="22"/>
      <c r="L24" s="23"/>
      <c r="M24" s="23"/>
      <c r="N24" s="23">
        <v>21.27</v>
      </c>
      <c r="O24" s="23"/>
      <c r="P24" s="3"/>
      <c r="Q24" s="31"/>
      <c r="R24" s="134" t="s">
        <v>58</v>
      </c>
      <c r="S24" s="147" t="s">
        <v>101</v>
      </c>
      <c r="T24" s="139">
        <f>COUNTIF(R$7:R24,"Y")</f>
        <v>0</v>
      </c>
      <c r="U24" s="2"/>
      <c r="V24"/>
      <c r="W24"/>
      <c r="X24"/>
      <c r="Y24"/>
      <c r="Z24"/>
      <c r="AA24"/>
      <c r="AB24"/>
      <c r="AC24"/>
      <c r="AD24" s="32"/>
    </row>
    <row r="25" spans="1:30" s="5" customFormat="1" ht="12.75" customHeight="1" x14ac:dyDescent="0.2">
      <c r="A25" s="140" t="str">
        <f t="shared" si="0"/>
        <v/>
      </c>
      <c r="B25" s="30" t="s">
        <v>101</v>
      </c>
      <c r="C25" s="161" t="s">
        <v>104</v>
      </c>
      <c r="D25" s="173" t="s">
        <v>60</v>
      </c>
      <c r="E25" s="161" t="s">
        <v>95</v>
      </c>
      <c r="F25" s="206">
        <v>65.56</v>
      </c>
      <c r="G25" s="25"/>
      <c r="H25" s="23"/>
      <c r="I25" s="197" t="s">
        <v>143</v>
      </c>
      <c r="J25" s="177" t="s">
        <v>150</v>
      </c>
      <c r="K25" s="22"/>
      <c r="L25" s="23"/>
      <c r="M25" s="23"/>
      <c r="N25" s="23">
        <v>65.56</v>
      </c>
      <c r="O25" s="23"/>
      <c r="P25" s="3"/>
      <c r="Q25" s="31"/>
      <c r="R25" s="134" t="s">
        <v>58</v>
      </c>
      <c r="S25" s="147" t="s">
        <v>101</v>
      </c>
      <c r="T25" s="139">
        <f>COUNTIF(R$7:R25,"Y")</f>
        <v>0</v>
      </c>
      <c r="U25" s="2"/>
      <c r="V25"/>
      <c r="W25"/>
      <c r="X25"/>
      <c r="Y25"/>
      <c r="Z25"/>
      <c r="AA25"/>
      <c r="AB25"/>
      <c r="AC25"/>
      <c r="AD25" s="32"/>
    </row>
    <row r="26" spans="1:30" s="5" customFormat="1" ht="12.75" x14ac:dyDescent="0.2">
      <c r="A26" s="140" t="str">
        <f t="shared" si="0"/>
        <v/>
      </c>
      <c r="B26" s="30" t="s">
        <v>101</v>
      </c>
      <c r="C26" s="19" t="s">
        <v>105</v>
      </c>
      <c r="D26" s="173" t="s">
        <v>60</v>
      </c>
      <c r="E26" s="161" t="s">
        <v>95</v>
      </c>
      <c r="F26" s="162">
        <v>180.33</v>
      </c>
      <c r="G26" s="4"/>
      <c r="H26" s="23"/>
      <c r="I26" s="197" t="s">
        <v>143</v>
      </c>
      <c r="J26" s="177" t="s">
        <v>150</v>
      </c>
      <c r="K26" s="22"/>
      <c r="L26" s="23"/>
      <c r="M26" s="23"/>
      <c r="N26" s="23">
        <v>180.33</v>
      </c>
      <c r="O26" s="23"/>
      <c r="P26" s="23"/>
      <c r="Q26" s="23"/>
      <c r="R26" s="134" t="s">
        <v>58</v>
      </c>
      <c r="S26" s="147" t="s">
        <v>101</v>
      </c>
      <c r="T26" s="139">
        <f>COUNTIF(R$7:R26,"Y")</f>
        <v>0</v>
      </c>
      <c r="U26" s="2"/>
      <c r="V26"/>
      <c r="W26"/>
      <c r="X26"/>
      <c r="Y26"/>
      <c r="Z26"/>
      <c r="AA26"/>
      <c r="AB26"/>
      <c r="AC26"/>
      <c r="AD26" s="32"/>
    </row>
    <row r="27" spans="1:30" s="5" customFormat="1" ht="12.75" x14ac:dyDescent="0.2">
      <c r="A27" s="140" t="str">
        <f t="shared" si="0"/>
        <v/>
      </c>
      <c r="B27" s="30" t="s">
        <v>101</v>
      </c>
      <c r="C27" s="19" t="s">
        <v>106</v>
      </c>
      <c r="D27" s="173" t="s">
        <v>60</v>
      </c>
      <c r="E27" s="161" t="s">
        <v>95</v>
      </c>
      <c r="F27" s="206">
        <v>29.24</v>
      </c>
      <c r="G27" s="25"/>
      <c r="H27" s="23"/>
      <c r="I27" s="197" t="s">
        <v>143</v>
      </c>
      <c r="J27" s="177" t="s">
        <v>150</v>
      </c>
      <c r="K27" s="22"/>
      <c r="L27" s="23"/>
      <c r="M27" s="23"/>
      <c r="N27" s="23">
        <v>29.24</v>
      </c>
      <c r="O27" s="23"/>
      <c r="P27" s="23"/>
      <c r="Q27" s="22"/>
      <c r="R27" s="134" t="s">
        <v>58</v>
      </c>
      <c r="S27" s="147" t="s">
        <v>101</v>
      </c>
      <c r="T27" s="139">
        <f>COUNTIF(R$7:R27,"Y")</f>
        <v>0</v>
      </c>
      <c r="U27" s="2"/>
      <c r="V27"/>
      <c r="W27"/>
      <c r="X27"/>
      <c r="Y27"/>
      <c r="Z27"/>
      <c r="AA27"/>
      <c r="AB27"/>
      <c r="AC27"/>
      <c r="AD27" s="32"/>
    </row>
    <row r="28" spans="1:30" s="5" customFormat="1" ht="12.75" x14ac:dyDescent="0.2">
      <c r="A28" s="140" t="str">
        <f t="shared" si="0"/>
        <v/>
      </c>
      <c r="B28" s="33" t="s">
        <v>101</v>
      </c>
      <c r="C28" s="19" t="s">
        <v>107</v>
      </c>
      <c r="D28" s="173" t="s">
        <v>60</v>
      </c>
      <c r="E28" s="161" t="s">
        <v>95</v>
      </c>
      <c r="F28" s="162">
        <v>165.16</v>
      </c>
      <c r="G28" s="25"/>
      <c r="H28" s="23"/>
      <c r="I28" s="197" t="s">
        <v>143</v>
      </c>
      <c r="J28" s="177" t="s">
        <v>150</v>
      </c>
      <c r="K28" s="22"/>
      <c r="L28" s="23"/>
      <c r="M28" s="23"/>
      <c r="N28" s="23">
        <v>165.16</v>
      </c>
      <c r="O28" s="23"/>
      <c r="P28" s="23"/>
      <c r="Q28" s="23"/>
      <c r="R28" s="134" t="s">
        <v>58</v>
      </c>
      <c r="S28" s="147" t="s">
        <v>101</v>
      </c>
      <c r="T28" s="139">
        <f>COUNTIF(R$7:R28,"Y")</f>
        <v>0</v>
      </c>
      <c r="U28" s="34"/>
      <c r="V28"/>
      <c r="W28"/>
      <c r="X28"/>
      <c r="Y28"/>
      <c r="Z28"/>
      <c r="AA28"/>
      <c r="AB28"/>
      <c r="AC28"/>
      <c r="AD28" s="32"/>
    </row>
    <row r="29" spans="1:30" s="5" customFormat="1" ht="12.75" customHeight="1" x14ac:dyDescent="0.2">
      <c r="A29" s="140" t="str">
        <f t="shared" si="0"/>
        <v/>
      </c>
      <c r="B29" s="30" t="s">
        <v>101</v>
      </c>
      <c r="C29" s="19" t="s">
        <v>107</v>
      </c>
      <c r="D29" s="173" t="s">
        <v>60</v>
      </c>
      <c r="E29" s="161" t="s">
        <v>95</v>
      </c>
      <c r="F29" s="162">
        <v>20.38</v>
      </c>
      <c r="G29" s="25"/>
      <c r="H29" s="23"/>
      <c r="I29" s="197" t="s">
        <v>143</v>
      </c>
      <c r="J29" s="177" t="s">
        <v>150</v>
      </c>
      <c r="K29" s="23"/>
      <c r="L29" s="23"/>
      <c r="M29" s="23"/>
      <c r="N29" s="23">
        <v>20.38</v>
      </c>
      <c r="O29" s="23"/>
      <c r="P29" s="23"/>
      <c r="Q29" s="22"/>
      <c r="R29" s="134" t="s">
        <v>58</v>
      </c>
      <c r="S29" s="147" t="s">
        <v>101</v>
      </c>
      <c r="T29" s="139">
        <f>COUNTIF(R$7:R29,"Y")</f>
        <v>0</v>
      </c>
      <c r="U29" s="2"/>
      <c r="V29"/>
      <c r="W29"/>
      <c r="X29"/>
      <c r="Y29"/>
      <c r="Z29"/>
      <c r="AA29"/>
      <c r="AB29"/>
      <c r="AC29"/>
      <c r="AD29" s="32"/>
    </row>
    <row r="30" spans="1:30" s="5" customFormat="1" ht="12.75" customHeight="1" x14ac:dyDescent="0.2">
      <c r="A30" s="140" t="str">
        <f t="shared" si="0"/>
        <v/>
      </c>
      <c r="B30" s="30" t="s">
        <v>114</v>
      </c>
      <c r="C30" s="19" t="s">
        <v>59</v>
      </c>
      <c r="D30" s="173" t="s">
        <v>60</v>
      </c>
      <c r="E30" s="161" t="s">
        <v>115</v>
      </c>
      <c r="F30" s="162">
        <v>36</v>
      </c>
      <c r="G30" s="25"/>
      <c r="H30" s="23"/>
      <c r="I30" s="197" t="s">
        <v>142</v>
      </c>
      <c r="J30" s="198" t="s">
        <v>145</v>
      </c>
      <c r="K30" s="23"/>
      <c r="L30" s="23">
        <v>36</v>
      </c>
      <c r="M30" s="23"/>
      <c r="N30" s="23"/>
      <c r="O30" s="23"/>
      <c r="P30" s="23"/>
      <c r="Q30" s="22"/>
      <c r="R30" s="134" t="s">
        <v>58</v>
      </c>
      <c r="S30" s="147" t="s">
        <v>119</v>
      </c>
      <c r="T30" s="139">
        <f>COUNTIF(R$7:R30,"Y")</f>
        <v>0</v>
      </c>
      <c r="U30" s="2"/>
      <c r="V30"/>
      <c r="W30"/>
      <c r="X30"/>
      <c r="Y30"/>
      <c r="Z30"/>
      <c r="AA30"/>
      <c r="AB30"/>
      <c r="AC30"/>
      <c r="AD30" s="32"/>
    </row>
    <row r="31" spans="1:30" s="5" customFormat="1" ht="12.75" customHeight="1" x14ac:dyDescent="0.2">
      <c r="A31" s="140" t="str">
        <f t="shared" si="0"/>
        <v/>
      </c>
      <c r="B31" s="30" t="s">
        <v>114</v>
      </c>
      <c r="C31" s="19" t="s">
        <v>62</v>
      </c>
      <c r="D31" s="173" t="s">
        <v>60</v>
      </c>
      <c r="E31" s="19" t="s">
        <v>116</v>
      </c>
      <c r="F31" s="25">
        <v>144.66</v>
      </c>
      <c r="G31" s="25"/>
      <c r="H31" s="23"/>
      <c r="I31" s="197" t="s">
        <v>142</v>
      </c>
      <c r="J31" s="198" t="s">
        <v>145</v>
      </c>
      <c r="K31" s="22"/>
      <c r="L31" s="23">
        <v>144.66</v>
      </c>
      <c r="M31" s="23"/>
      <c r="N31" s="23"/>
      <c r="O31" s="23"/>
      <c r="P31" s="23"/>
      <c r="Q31" s="23"/>
      <c r="R31" s="134" t="s">
        <v>65</v>
      </c>
      <c r="S31" s="147" t="s">
        <v>119</v>
      </c>
      <c r="T31" s="139">
        <f>COUNTIF(R$7:R31,"Y")</f>
        <v>0</v>
      </c>
      <c r="U31" s="2"/>
      <c r="V31"/>
      <c r="W31"/>
      <c r="X31"/>
      <c r="Y31"/>
      <c r="Z31"/>
      <c r="AA31"/>
      <c r="AB31"/>
      <c r="AC31"/>
      <c r="AD31" s="32"/>
    </row>
    <row r="32" spans="1:30" s="5" customFormat="1" ht="12.75" customHeight="1" x14ac:dyDescent="0.2">
      <c r="A32" s="140" t="str">
        <f t="shared" si="0"/>
        <v/>
      </c>
      <c r="B32" s="30" t="s">
        <v>114</v>
      </c>
      <c r="C32" s="19" t="s">
        <v>117</v>
      </c>
      <c r="D32" s="173" t="s">
        <v>60</v>
      </c>
      <c r="E32" s="19" t="s">
        <v>118</v>
      </c>
      <c r="F32" s="25">
        <v>250</v>
      </c>
      <c r="G32" s="25"/>
      <c r="H32" s="22"/>
      <c r="I32" s="197" t="s">
        <v>142</v>
      </c>
      <c r="J32" s="198" t="s">
        <v>145</v>
      </c>
      <c r="K32" s="22"/>
      <c r="L32" s="23"/>
      <c r="M32" s="23"/>
      <c r="N32" s="23"/>
      <c r="O32" s="23">
        <v>250</v>
      </c>
      <c r="P32" s="23"/>
      <c r="Q32" s="23"/>
      <c r="R32" s="134" t="s">
        <v>58</v>
      </c>
      <c r="S32" s="147" t="s">
        <v>119</v>
      </c>
      <c r="T32" s="139">
        <f>COUNTIF(R$7:R32,"Y")</f>
        <v>0</v>
      </c>
      <c r="U32" s="2"/>
      <c r="V32"/>
      <c r="W32"/>
      <c r="X32"/>
      <c r="Y32"/>
      <c r="Z32"/>
      <c r="AA32"/>
      <c r="AB32"/>
      <c r="AC32"/>
      <c r="AD32" s="32"/>
    </row>
    <row r="33" spans="1:30" s="5" customFormat="1" ht="12.75" customHeight="1" x14ac:dyDescent="0.2">
      <c r="A33" s="140" t="str">
        <f t="shared" si="0"/>
        <v/>
      </c>
      <c r="B33" s="33" t="s">
        <v>121</v>
      </c>
      <c r="C33" s="19" t="s">
        <v>122</v>
      </c>
      <c r="D33" s="173" t="s">
        <v>60</v>
      </c>
      <c r="E33" s="19" t="s">
        <v>123</v>
      </c>
      <c r="F33" s="25">
        <v>60</v>
      </c>
      <c r="G33" s="25"/>
      <c r="H33" s="23"/>
      <c r="I33" s="197" t="s">
        <v>142</v>
      </c>
      <c r="J33" s="198" t="s">
        <v>145</v>
      </c>
      <c r="K33" s="22"/>
      <c r="L33" s="23"/>
      <c r="M33" s="23"/>
      <c r="N33" s="23"/>
      <c r="O33" s="23">
        <v>60</v>
      </c>
      <c r="P33" s="23"/>
      <c r="Q33" s="23"/>
      <c r="R33" s="134" t="s">
        <v>58</v>
      </c>
      <c r="S33" s="147" t="s">
        <v>121</v>
      </c>
      <c r="T33" s="139">
        <f>COUNTIF(R$7:R33,"Y")</f>
        <v>0</v>
      </c>
      <c r="U33" s="2"/>
      <c r="V33"/>
      <c r="W33"/>
      <c r="X33"/>
      <c r="Y33"/>
      <c r="Z33"/>
      <c r="AA33"/>
      <c r="AB33"/>
      <c r="AC33"/>
      <c r="AD33" s="32"/>
    </row>
    <row r="34" spans="1:30" s="5" customFormat="1" ht="12.75" customHeight="1" x14ac:dyDescent="0.2">
      <c r="A34" s="140" t="str">
        <f t="shared" si="0"/>
        <v/>
      </c>
      <c r="B34" s="30" t="s">
        <v>124</v>
      </c>
      <c r="C34" s="19" t="s">
        <v>62</v>
      </c>
      <c r="D34" s="173" t="s">
        <v>60</v>
      </c>
      <c r="E34" s="161" t="s">
        <v>125</v>
      </c>
      <c r="F34" s="162">
        <v>144.46</v>
      </c>
      <c r="G34" s="25"/>
      <c r="H34" s="23"/>
      <c r="I34" s="197" t="s">
        <v>142</v>
      </c>
      <c r="J34" s="198" t="s">
        <v>144</v>
      </c>
      <c r="K34" s="22"/>
      <c r="L34" s="23">
        <v>144.46</v>
      </c>
      <c r="M34" s="23"/>
      <c r="N34" s="23"/>
      <c r="O34" s="23"/>
      <c r="P34" s="23"/>
      <c r="Q34" s="23"/>
      <c r="R34" s="134" t="s">
        <v>58</v>
      </c>
      <c r="S34" s="147" t="s">
        <v>124</v>
      </c>
      <c r="T34" s="139">
        <f>COUNTIF(R$7:R34,"Y")</f>
        <v>0</v>
      </c>
      <c r="U34" s="2"/>
      <c r="V34"/>
      <c r="W34"/>
      <c r="X34"/>
      <c r="Y34"/>
      <c r="Z34"/>
      <c r="AA34"/>
      <c r="AB34"/>
      <c r="AC34"/>
      <c r="AD34" s="32"/>
    </row>
    <row r="35" spans="1:30" s="5" customFormat="1" ht="12.75" customHeight="1" x14ac:dyDescent="0.2">
      <c r="A35" s="140" t="str">
        <f t="shared" si="0"/>
        <v/>
      </c>
      <c r="B35" s="30" t="s">
        <v>124</v>
      </c>
      <c r="C35" s="19" t="s">
        <v>126</v>
      </c>
      <c r="D35" s="173" t="s">
        <v>60</v>
      </c>
      <c r="E35" s="161" t="s">
        <v>127</v>
      </c>
      <c r="F35" s="162">
        <v>36.200000000000003</v>
      </c>
      <c r="G35" s="25"/>
      <c r="H35" s="23"/>
      <c r="I35" s="197" t="s">
        <v>142</v>
      </c>
      <c r="J35" s="198" t="s">
        <v>144</v>
      </c>
      <c r="K35" s="22"/>
      <c r="L35" s="23">
        <v>36.200000000000003</v>
      </c>
      <c r="M35" s="23"/>
      <c r="N35" s="23"/>
      <c r="O35" s="23"/>
      <c r="P35" s="23"/>
      <c r="Q35" s="23"/>
      <c r="R35" s="134" t="s">
        <v>58</v>
      </c>
      <c r="S35" s="147" t="s">
        <v>124</v>
      </c>
      <c r="T35" s="139">
        <f>COUNTIF(R$7:R35,"Y")</f>
        <v>0</v>
      </c>
      <c r="U35" s="2"/>
      <c r="V35"/>
      <c r="W35"/>
      <c r="X35"/>
      <c r="Y35"/>
      <c r="Z35"/>
      <c r="AA35"/>
      <c r="AB35"/>
      <c r="AC35"/>
      <c r="AD35" s="32"/>
    </row>
    <row r="36" spans="1:30" s="5" customFormat="1" ht="12.75" x14ac:dyDescent="0.2">
      <c r="A36" s="140" t="str">
        <f t="shared" si="0"/>
        <v/>
      </c>
      <c r="B36" s="30" t="s">
        <v>130</v>
      </c>
      <c r="C36" s="19" t="s">
        <v>62</v>
      </c>
      <c r="D36" s="173" t="s">
        <v>60</v>
      </c>
      <c r="E36" s="19" t="s">
        <v>131</v>
      </c>
      <c r="F36" s="25">
        <v>144.46</v>
      </c>
      <c r="G36" s="25"/>
      <c r="H36" s="22"/>
      <c r="I36" s="197" t="s">
        <v>143</v>
      </c>
      <c r="J36" s="177" t="s">
        <v>152</v>
      </c>
      <c r="K36" s="22"/>
      <c r="L36" s="22">
        <v>144.46</v>
      </c>
      <c r="M36" s="23"/>
      <c r="N36" s="23"/>
      <c r="O36" s="23"/>
      <c r="P36" s="23"/>
      <c r="Q36" s="23"/>
      <c r="R36" s="134" t="s">
        <v>58</v>
      </c>
      <c r="S36" s="147" t="s">
        <v>130</v>
      </c>
      <c r="T36" s="139">
        <f>COUNTIF(R$7:R36,"Y")</f>
        <v>0</v>
      </c>
      <c r="U36" s="2" t="s">
        <v>8</v>
      </c>
      <c r="V36"/>
      <c r="W36"/>
      <c r="X36"/>
      <c r="Y36"/>
      <c r="Z36"/>
      <c r="AA36"/>
      <c r="AB36"/>
      <c r="AC36"/>
      <c r="AD36" s="32"/>
    </row>
    <row r="37" spans="1:30" s="5" customFormat="1" ht="12.75" x14ac:dyDescent="0.2">
      <c r="A37" s="140"/>
      <c r="B37" s="30" t="s">
        <v>130</v>
      </c>
      <c r="C37" s="19" t="s">
        <v>126</v>
      </c>
      <c r="D37" s="173" t="s">
        <v>99</v>
      </c>
      <c r="E37" s="19" t="s">
        <v>132</v>
      </c>
      <c r="F37" s="25">
        <v>36.200000000000003</v>
      </c>
      <c r="G37" s="25"/>
      <c r="H37" s="22"/>
      <c r="I37" s="197" t="s">
        <v>143</v>
      </c>
      <c r="J37" s="177" t="s">
        <v>152</v>
      </c>
      <c r="K37" s="22"/>
      <c r="L37" s="22">
        <v>36.200000000000003</v>
      </c>
      <c r="M37" s="23"/>
      <c r="N37" s="23"/>
      <c r="O37" s="23"/>
      <c r="P37" s="23"/>
      <c r="Q37" s="23"/>
      <c r="R37" s="134" t="s">
        <v>58</v>
      </c>
      <c r="S37" s="147" t="s">
        <v>130</v>
      </c>
      <c r="T37" s="139"/>
      <c r="U37" s="2"/>
      <c r="V37"/>
      <c r="W37"/>
      <c r="X37"/>
      <c r="Y37"/>
      <c r="Z37"/>
      <c r="AA37"/>
      <c r="AB37"/>
      <c r="AC37"/>
      <c r="AD37" s="32"/>
    </row>
    <row r="38" spans="1:30" s="5" customFormat="1" ht="12.75" x14ac:dyDescent="0.2">
      <c r="A38" s="140"/>
      <c r="B38" s="30" t="s">
        <v>135</v>
      </c>
      <c r="C38" s="19" t="s">
        <v>139</v>
      </c>
      <c r="D38" s="173" t="s">
        <v>99</v>
      </c>
      <c r="E38" s="19" t="s">
        <v>140</v>
      </c>
      <c r="F38" s="25">
        <v>144.66</v>
      </c>
      <c r="G38" s="25"/>
      <c r="H38" s="22"/>
      <c r="I38" s="197" t="s">
        <v>143</v>
      </c>
      <c r="J38" s="177" t="s">
        <v>152</v>
      </c>
      <c r="K38" s="22"/>
      <c r="L38" s="22">
        <v>144.66</v>
      </c>
      <c r="M38" s="23"/>
      <c r="N38" s="23"/>
      <c r="O38" s="23"/>
      <c r="P38" s="23"/>
      <c r="Q38" s="23"/>
      <c r="R38" s="134" t="s">
        <v>58</v>
      </c>
      <c r="S38" s="147" t="s">
        <v>135</v>
      </c>
      <c r="T38" s="139"/>
      <c r="U38" s="2"/>
      <c r="V38"/>
      <c r="W38"/>
      <c r="X38"/>
      <c r="Y38"/>
      <c r="Z38"/>
      <c r="AA38"/>
      <c r="AB38"/>
      <c r="AC38"/>
      <c r="AD38" s="32"/>
    </row>
    <row r="39" spans="1:30" s="5" customFormat="1" ht="12.75" x14ac:dyDescent="0.2">
      <c r="A39" s="140" t="str">
        <f t="shared" si="0"/>
        <v/>
      </c>
      <c r="B39" s="33" t="s">
        <v>135</v>
      </c>
      <c r="C39" s="19" t="s">
        <v>59</v>
      </c>
      <c r="D39" s="173" t="s">
        <v>60</v>
      </c>
      <c r="E39" s="19" t="s">
        <v>141</v>
      </c>
      <c r="F39" s="25">
        <v>36</v>
      </c>
      <c r="G39" s="25"/>
      <c r="H39" s="23"/>
      <c r="I39" s="197" t="s">
        <v>143</v>
      </c>
      <c r="J39" s="177" t="s">
        <v>152</v>
      </c>
      <c r="K39" s="22"/>
      <c r="L39" s="23">
        <v>36</v>
      </c>
      <c r="M39" s="23"/>
      <c r="N39" s="23"/>
      <c r="O39" s="23"/>
      <c r="P39" s="23"/>
      <c r="Q39" s="23"/>
      <c r="R39" s="134" t="s">
        <v>58</v>
      </c>
      <c r="S39" s="147" t="s">
        <v>135</v>
      </c>
      <c r="T39" s="139">
        <f>COUNTIF(R$7:R39,"Y")</f>
        <v>0</v>
      </c>
      <c r="U39" s="34"/>
      <c r="V39"/>
      <c r="W39"/>
      <c r="X39"/>
      <c r="Y39"/>
      <c r="Z39"/>
      <c r="AA39"/>
      <c r="AB39"/>
      <c r="AC39"/>
      <c r="AD39" s="32"/>
    </row>
    <row r="40" spans="1:30" s="5" customFormat="1" ht="12.75" customHeight="1" x14ac:dyDescent="0.2">
      <c r="A40" s="140" t="str">
        <f t="shared" si="0"/>
        <v/>
      </c>
      <c r="B40" s="30" t="s">
        <v>136</v>
      </c>
      <c r="C40" s="19" t="s">
        <v>137</v>
      </c>
      <c r="D40" s="173" t="s">
        <v>60</v>
      </c>
      <c r="E40" s="161" t="s">
        <v>138</v>
      </c>
      <c r="F40" s="25">
        <v>236.4</v>
      </c>
      <c r="G40" s="25"/>
      <c r="H40" s="23">
        <v>39.4</v>
      </c>
      <c r="I40" s="197" t="s">
        <v>143</v>
      </c>
      <c r="J40" s="177" t="s">
        <v>152</v>
      </c>
      <c r="K40" s="22"/>
      <c r="L40" s="23"/>
      <c r="M40" s="23">
        <v>236.4</v>
      </c>
      <c r="N40" s="23"/>
      <c r="O40" s="23"/>
      <c r="P40" s="23"/>
      <c r="Q40" s="23"/>
      <c r="R40" s="134" t="s">
        <v>58</v>
      </c>
      <c r="S40" s="147" t="s">
        <v>136</v>
      </c>
      <c r="T40" s="139">
        <f>COUNTIF(R$7:R40,"Y")</f>
        <v>0</v>
      </c>
      <c r="U40" s="2"/>
      <c r="V40"/>
      <c r="W40"/>
      <c r="X40"/>
      <c r="Y40"/>
      <c r="Z40"/>
      <c r="AA40"/>
      <c r="AB40"/>
      <c r="AC40"/>
      <c r="AD40" s="32"/>
    </row>
    <row r="41" spans="1:30" s="5" customFormat="1" ht="12.75" customHeight="1" x14ac:dyDescent="0.2">
      <c r="A41" s="140" t="str">
        <f t="shared" si="0"/>
        <v/>
      </c>
      <c r="B41" s="30" t="s">
        <v>147</v>
      </c>
      <c r="C41" s="19" t="s">
        <v>62</v>
      </c>
      <c r="D41" s="173" t="s">
        <v>60</v>
      </c>
      <c r="E41" s="19" t="s">
        <v>148</v>
      </c>
      <c r="F41" s="25">
        <v>144.46</v>
      </c>
      <c r="G41" s="21"/>
      <c r="H41" s="22"/>
      <c r="I41" s="156" t="s">
        <v>143</v>
      </c>
      <c r="J41" s="177" t="s">
        <v>151</v>
      </c>
      <c r="K41" s="22"/>
      <c r="L41" s="23">
        <v>144.46</v>
      </c>
      <c r="M41" s="23"/>
      <c r="N41" s="23"/>
      <c r="O41" s="23"/>
      <c r="P41" s="23"/>
      <c r="Q41" s="23"/>
      <c r="R41" s="134" t="s">
        <v>58</v>
      </c>
      <c r="S41" s="147" t="s">
        <v>147</v>
      </c>
      <c r="T41" s="139">
        <f>COUNTIF(R$7:R41,"Y")</f>
        <v>0</v>
      </c>
      <c r="U41" s="2"/>
      <c r="V41"/>
      <c r="W41"/>
      <c r="X41"/>
      <c r="Y41"/>
      <c r="Z41"/>
      <c r="AA41"/>
      <c r="AB41"/>
      <c r="AC41"/>
      <c r="AD41" s="32"/>
    </row>
    <row r="42" spans="1:30" s="5" customFormat="1" ht="12.75" customHeight="1" x14ac:dyDescent="0.2">
      <c r="A42" s="140" t="str">
        <f t="shared" si="0"/>
        <v/>
      </c>
      <c r="B42" s="26" t="s">
        <v>147</v>
      </c>
      <c r="C42" s="19" t="s">
        <v>126</v>
      </c>
      <c r="D42" s="186" t="s">
        <v>60</v>
      </c>
      <c r="E42" s="19" t="s">
        <v>149</v>
      </c>
      <c r="F42" s="21">
        <v>36.200000000000003</v>
      </c>
      <c r="G42" s="21"/>
      <c r="H42" s="23"/>
      <c r="I42" s="156" t="s">
        <v>143</v>
      </c>
      <c r="J42" s="177" t="s">
        <v>151</v>
      </c>
      <c r="K42" s="22"/>
      <c r="L42" s="23">
        <v>36.200000000000003</v>
      </c>
      <c r="M42" s="23"/>
      <c r="N42" s="23"/>
      <c r="O42" s="23"/>
      <c r="P42" s="23"/>
      <c r="Q42" s="23"/>
      <c r="R42" s="134" t="s">
        <v>58</v>
      </c>
      <c r="S42" s="147" t="s">
        <v>147</v>
      </c>
      <c r="T42" s="139">
        <f>COUNTIF(R$7:R42,"Y")</f>
        <v>0</v>
      </c>
      <c r="U42" s="2"/>
      <c r="V42"/>
      <c r="W42"/>
      <c r="X42"/>
      <c r="Y42"/>
      <c r="Z42"/>
      <c r="AA42"/>
      <c r="AB42"/>
      <c r="AC42"/>
      <c r="AD42" s="32"/>
    </row>
    <row r="43" spans="1:30" s="5" customFormat="1" ht="12.75" customHeight="1" x14ac:dyDescent="0.2">
      <c r="A43" s="140" t="str">
        <f t="shared" si="0"/>
        <v/>
      </c>
      <c r="B43" s="26" t="s">
        <v>153</v>
      </c>
      <c r="C43" s="19" t="s">
        <v>59</v>
      </c>
      <c r="D43" s="186" t="s">
        <v>60</v>
      </c>
      <c r="E43" s="19" t="s">
        <v>154</v>
      </c>
      <c r="F43" s="25">
        <v>62.8</v>
      </c>
      <c r="G43" s="25"/>
      <c r="H43" s="23"/>
      <c r="I43" s="156" t="s">
        <v>153</v>
      </c>
      <c r="J43" s="177" t="s">
        <v>173</v>
      </c>
      <c r="K43" s="23"/>
      <c r="L43" s="23">
        <v>62.8</v>
      </c>
      <c r="M43" s="23"/>
      <c r="N43" s="23"/>
      <c r="O43" s="23"/>
      <c r="P43" s="23"/>
      <c r="Q43" s="23"/>
      <c r="R43" s="134" t="s">
        <v>58</v>
      </c>
      <c r="S43" s="147" t="s">
        <v>160</v>
      </c>
      <c r="T43" s="139">
        <f>COUNTIF(R$7:R43,"Y")</f>
        <v>0</v>
      </c>
      <c r="U43"/>
      <c r="V43"/>
      <c r="W43"/>
      <c r="X43"/>
      <c r="Y43"/>
      <c r="Z43"/>
      <c r="AA43"/>
      <c r="AB43"/>
      <c r="AC43"/>
      <c r="AD43" s="32"/>
    </row>
    <row r="44" spans="1:30" s="5" customFormat="1" ht="12.75" customHeight="1" x14ac:dyDescent="0.2">
      <c r="A44" s="140" t="str">
        <f t="shared" si="0"/>
        <v/>
      </c>
      <c r="B44" s="26" t="s">
        <v>153</v>
      </c>
      <c r="C44" s="29" t="s">
        <v>62</v>
      </c>
      <c r="D44" s="186" t="s">
        <v>60</v>
      </c>
      <c r="E44" s="19" t="s">
        <v>155</v>
      </c>
      <c r="F44" s="25">
        <v>251.19</v>
      </c>
      <c r="G44" s="25"/>
      <c r="H44" s="23"/>
      <c r="I44" s="156" t="s">
        <v>153</v>
      </c>
      <c r="J44" s="177" t="s">
        <v>173</v>
      </c>
      <c r="K44" s="23"/>
      <c r="L44" s="23">
        <v>251.19</v>
      </c>
      <c r="M44" s="23"/>
      <c r="N44" s="23"/>
      <c r="O44" s="23"/>
      <c r="P44" s="23"/>
      <c r="Q44" s="23"/>
      <c r="R44" s="134" t="s">
        <v>58</v>
      </c>
      <c r="S44" s="147" t="s">
        <v>160</v>
      </c>
      <c r="T44" s="139">
        <f>COUNTIF(R$7:R44,"Y")</f>
        <v>0</v>
      </c>
      <c r="U44"/>
      <c r="V44"/>
      <c r="W44"/>
      <c r="X44"/>
      <c r="Y44"/>
      <c r="Z44"/>
      <c r="AA44"/>
      <c r="AB44"/>
      <c r="AC44"/>
      <c r="AD44" s="32"/>
    </row>
    <row r="45" spans="1:30" s="5" customFormat="1" ht="12.75" customHeight="1" x14ac:dyDescent="0.2">
      <c r="A45" s="140" t="str">
        <f t="shared" si="0"/>
        <v/>
      </c>
      <c r="B45" s="26" t="s">
        <v>153</v>
      </c>
      <c r="C45" s="29" t="s">
        <v>156</v>
      </c>
      <c r="D45" s="186" t="s">
        <v>60</v>
      </c>
      <c r="E45" s="19" t="s">
        <v>157</v>
      </c>
      <c r="F45" s="25">
        <v>99</v>
      </c>
      <c r="G45" s="25"/>
      <c r="H45" s="212">
        <v>16.5</v>
      </c>
      <c r="I45" s="156" t="s">
        <v>153</v>
      </c>
      <c r="J45" s="177" t="s">
        <v>173</v>
      </c>
      <c r="K45" s="23"/>
      <c r="L45" s="23"/>
      <c r="M45" s="23">
        <v>99</v>
      </c>
      <c r="N45" s="23"/>
      <c r="O45" s="23"/>
      <c r="P45" s="23"/>
      <c r="Q45" s="23"/>
      <c r="R45" s="134" t="s">
        <v>58</v>
      </c>
      <c r="S45" s="147" t="s">
        <v>160</v>
      </c>
      <c r="T45" s="139">
        <f>COUNTIF(R$7:R45,"Y")</f>
        <v>0</v>
      </c>
      <c r="U45"/>
      <c r="V45"/>
      <c r="W45"/>
      <c r="X45"/>
      <c r="Y45"/>
      <c r="Z45"/>
      <c r="AA45"/>
      <c r="AB45"/>
      <c r="AC45"/>
      <c r="AD45" s="32"/>
    </row>
    <row r="46" spans="1:30" ht="12.75" customHeight="1" x14ac:dyDescent="0.2">
      <c r="A46" s="140" t="str">
        <f t="shared" si="0"/>
        <v/>
      </c>
      <c r="B46" s="26" t="s">
        <v>153</v>
      </c>
      <c r="C46" s="29" t="s">
        <v>158</v>
      </c>
      <c r="D46" s="186" t="s">
        <v>60</v>
      </c>
      <c r="E46" s="19" t="s">
        <v>159</v>
      </c>
      <c r="F46" s="25">
        <v>42</v>
      </c>
      <c r="G46" s="25"/>
      <c r="H46" s="23"/>
      <c r="I46" s="156" t="s">
        <v>153</v>
      </c>
      <c r="J46" s="177" t="s">
        <v>173</v>
      </c>
      <c r="K46" s="23"/>
      <c r="L46" s="23"/>
      <c r="M46" s="23">
        <v>42</v>
      </c>
      <c r="N46" s="23"/>
      <c r="O46" s="23"/>
      <c r="P46" s="23"/>
      <c r="Q46" s="23"/>
      <c r="R46" s="134" t="s">
        <v>58</v>
      </c>
      <c r="S46" s="147" t="s">
        <v>160</v>
      </c>
      <c r="T46" s="139">
        <f>COUNTIF(R$7:R46,"Y")</f>
        <v>0</v>
      </c>
    </row>
    <row r="47" spans="1:30" ht="12.75" customHeight="1" x14ac:dyDescent="0.2">
      <c r="A47" s="140" t="str">
        <f t="shared" si="0"/>
        <v/>
      </c>
      <c r="B47" s="26" t="s">
        <v>161</v>
      </c>
      <c r="C47" s="29" t="s">
        <v>162</v>
      </c>
      <c r="D47" s="173" t="s">
        <v>60</v>
      </c>
      <c r="E47" s="19" t="s">
        <v>163</v>
      </c>
      <c r="F47" s="25">
        <v>4</v>
      </c>
      <c r="G47" s="25"/>
      <c r="H47" s="23"/>
      <c r="I47" s="156" t="s">
        <v>190</v>
      </c>
      <c r="J47" s="177" t="s">
        <v>174</v>
      </c>
      <c r="K47" s="23"/>
      <c r="L47" s="23"/>
      <c r="M47" s="23">
        <v>4</v>
      </c>
      <c r="N47" s="23"/>
      <c r="O47" s="23"/>
      <c r="P47" s="23"/>
      <c r="Q47" s="23"/>
      <c r="R47" s="134" t="s">
        <v>58</v>
      </c>
      <c r="S47" s="147" t="s">
        <v>161</v>
      </c>
      <c r="T47" s="139">
        <f>COUNTIF(R$7:R47,"Y")</f>
        <v>0</v>
      </c>
    </row>
    <row r="48" spans="1:30" ht="12.75" customHeight="1" x14ac:dyDescent="0.2">
      <c r="A48" s="140" t="str">
        <f t="shared" si="0"/>
        <v/>
      </c>
      <c r="B48" s="26" t="s">
        <v>161</v>
      </c>
      <c r="C48" s="29" t="s">
        <v>62</v>
      </c>
      <c r="D48" s="173" t="s">
        <v>60</v>
      </c>
      <c r="E48" s="19" t="s">
        <v>164</v>
      </c>
      <c r="F48" s="25">
        <v>157.93</v>
      </c>
      <c r="G48" s="25"/>
      <c r="H48" s="23"/>
      <c r="I48" s="156" t="s">
        <v>190</v>
      </c>
      <c r="J48" s="177" t="s">
        <v>174</v>
      </c>
      <c r="K48" s="23"/>
      <c r="L48" s="23">
        <v>157.93</v>
      </c>
      <c r="M48" s="23"/>
      <c r="N48" s="23"/>
      <c r="O48" s="23"/>
      <c r="P48" s="23"/>
      <c r="Q48" s="23"/>
      <c r="R48" s="134" t="s">
        <v>58</v>
      </c>
      <c r="S48" s="147" t="s">
        <v>161</v>
      </c>
      <c r="T48" s="139">
        <f>COUNTIF(R$7:R48,"Y")</f>
        <v>0</v>
      </c>
    </row>
    <row r="49" spans="1:20" ht="12.75" customHeight="1" x14ac:dyDescent="0.2">
      <c r="A49" s="140" t="str">
        <f t="shared" si="0"/>
        <v/>
      </c>
      <c r="B49" s="26" t="s">
        <v>161</v>
      </c>
      <c r="C49" s="29" t="s">
        <v>59</v>
      </c>
      <c r="D49" s="173" t="s">
        <v>60</v>
      </c>
      <c r="E49" s="161" t="s">
        <v>165</v>
      </c>
      <c r="F49" s="162">
        <v>39.4</v>
      </c>
      <c r="G49" s="25"/>
      <c r="H49" s="23"/>
      <c r="I49" s="156" t="s">
        <v>190</v>
      </c>
      <c r="J49" s="177" t="s">
        <v>174</v>
      </c>
      <c r="K49" s="23"/>
      <c r="L49" s="23">
        <v>39.4</v>
      </c>
      <c r="M49" s="23"/>
      <c r="N49" s="23"/>
      <c r="O49" s="23"/>
      <c r="P49" s="23"/>
      <c r="Q49" s="23"/>
      <c r="R49" s="134" t="s">
        <v>58</v>
      </c>
      <c r="S49" s="147" t="s">
        <v>161</v>
      </c>
      <c r="T49" s="139">
        <f>COUNTIF(R$7:R49,"Y")</f>
        <v>0</v>
      </c>
    </row>
    <row r="50" spans="1:20" ht="12.75" customHeight="1" x14ac:dyDescent="0.2">
      <c r="A50" s="140" t="str">
        <f t="shared" si="0"/>
        <v/>
      </c>
      <c r="B50" s="26" t="s">
        <v>167</v>
      </c>
      <c r="C50" s="29" t="s">
        <v>168</v>
      </c>
      <c r="D50" s="173" t="s">
        <v>60</v>
      </c>
      <c r="E50" s="19" t="s">
        <v>169</v>
      </c>
      <c r="F50" s="25">
        <v>390</v>
      </c>
      <c r="G50" s="25"/>
      <c r="H50" s="23"/>
      <c r="I50" s="156" t="s">
        <v>190</v>
      </c>
      <c r="J50" s="177" t="s">
        <v>175</v>
      </c>
      <c r="K50" s="23"/>
      <c r="L50" s="23"/>
      <c r="M50" s="23">
        <v>390</v>
      </c>
      <c r="N50" s="23"/>
      <c r="O50" s="23"/>
      <c r="P50" s="23"/>
      <c r="Q50" s="23"/>
      <c r="R50" s="134" t="s">
        <v>58</v>
      </c>
      <c r="S50" s="147" t="s">
        <v>167</v>
      </c>
      <c r="T50" s="139">
        <f>COUNTIF(R$7:R50,"Y")</f>
        <v>0</v>
      </c>
    </row>
    <row r="51" spans="1:20" ht="12.75" customHeight="1" x14ac:dyDescent="0.2">
      <c r="A51" s="140" t="str">
        <f t="shared" si="0"/>
        <v/>
      </c>
      <c r="B51" s="26" t="s">
        <v>167</v>
      </c>
      <c r="C51" s="29" t="s">
        <v>168</v>
      </c>
      <c r="D51" s="173" t="s">
        <v>60</v>
      </c>
      <c r="E51" s="19" t="s">
        <v>170</v>
      </c>
      <c r="F51" s="25">
        <v>960</v>
      </c>
      <c r="G51" s="25"/>
      <c r="H51" s="23"/>
      <c r="I51" s="156" t="s">
        <v>190</v>
      </c>
      <c r="J51" s="177" t="s">
        <v>175</v>
      </c>
      <c r="K51" s="23"/>
      <c r="L51" s="23"/>
      <c r="M51" s="23">
        <v>960</v>
      </c>
      <c r="N51" s="23"/>
      <c r="O51" s="23"/>
      <c r="P51" s="23"/>
      <c r="Q51" s="23"/>
      <c r="R51" s="134" t="s">
        <v>58</v>
      </c>
      <c r="S51" s="147" t="s">
        <v>167</v>
      </c>
      <c r="T51" s="139">
        <f>COUNTIF(R$7:R51,"Y")</f>
        <v>0</v>
      </c>
    </row>
    <row r="52" spans="1:20" ht="12.75" customHeight="1" x14ac:dyDescent="0.2">
      <c r="A52" s="140" t="str">
        <f t="shared" si="0"/>
        <v/>
      </c>
      <c r="B52" s="26" t="s">
        <v>167</v>
      </c>
      <c r="C52" s="29" t="s">
        <v>62</v>
      </c>
      <c r="D52" s="173" t="s">
        <v>60</v>
      </c>
      <c r="E52" s="19" t="s">
        <v>171</v>
      </c>
      <c r="F52" s="25">
        <v>157.72999999999999</v>
      </c>
      <c r="G52" s="25"/>
      <c r="H52" s="23"/>
      <c r="I52" s="156" t="s">
        <v>190</v>
      </c>
      <c r="J52" s="177" t="s">
        <v>175</v>
      </c>
      <c r="K52" s="23"/>
      <c r="L52" s="23">
        <v>157.72999999999999</v>
      </c>
      <c r="M52" s="23"/>
      <c r="N52" s="23"/>
      <c r="O52" s="23"/>
      <c r="P52" s="23"/>
      <c r="Q52" s="23"/>
      <c r="R52" s="134" t="s">
        <v>58</v>
      </c>
      <c r="S52" s="147" t="s">
        <v>167</v>
      </c>
      <c r="T52" s="139">
        <f>COUNTIF(R$7:R52,"Y")</f>
        <v>0</v>
      </c>
    </row>
    <row r="53" spans="1:20" ht="12.75" customHeight="1" x14ac:dyDescent="0.2">
      <c r="A53" s="140" t="str">
        <f t="shared" si="0"/>
        <v/>
      </c>
      <c r="B53" s="26" t="s">
        <v>167</v>
      </c>
      <c r="C53" s="29" t="s">
        <v>59</v>
      </c>
      <c r="D53" s="173" t="s">
        <v>60</v>
      </c>
      <c r="E53" s="19" t="s">
        <v>172</v>
      </c>
      <c r="F53" s="25">
        <v>39.6</v>
      </c>
      <c r="G53" s="25"/>
      <c r="H53" s="23"/>
      <c r="I53" s="156" t="s">
        <v>190</v>
      </c>
      <c r="J53" s="177" t="s">
        <v>175</v>
      </c>
      <c r="K53" s="23"/>
      <c r="L53" s="23">
        <v>39.6</v>
      </c>
      <c r="M53" s="23"/>
      <c r="N53" s="23"/>
      <c r="O53" s="23"/>
      <c r="P53" s="23"/>
      <c r="Q53" s="23"/>
      <c r="R53" s="134" t="s">
        <v>58</v>
      </c>
      <c r="S53" s="147" t="s">
        <v>167</v>
      </c>
      <c r="T53" s="139">
        <f>COUNTIF(R$7:R53,"Y")</f>
        <v>0</v>
      </c>
    </row>
    <row r="54" spans="1:20" ht="12.75" customHeight="1" x14ac:dyDescent="0.2">
      <c r="A54" s="140" t="str">
        <f t="shared" si="0"/>
        <v/>
      </c>
      <c r="B54" s="26" t="s">
        <v>176</v>
      </c>
      <c r="C54" s="29" t="s">
        <v>62</v>
      </c>
      <c r="D54" s="173" t="s">
        <v>60</v>
      </c>
      <c r="E54" s="161" t="s">
        <v>177</v>
      </c>
      <c r="F54" s="162">
        <v>157.93</v>
      </c>
      <c r="G54" s="25"/>
      <c r="H54" s="23"/>
      <c r="I54" s="156" t="s">
        <v>182</v>
      </c>
      <c r="J54" s="177" t="s">
        <v>191</v>
      </c>
      <c r="K54" s="23"/>
      <c r="L54" s="23">
        <v>157.93</v>
      </c>
      <c r="M54" s="23"/>
      <c r="N54" s="23"/>
      <c r="O54" s="23"/>
      <c r="P54" s="23"/>
      <c r="Q54" s="23"/>
      <c r="R54" s="134" t="s">
        <v>58</v>
      </c>
      <c r="S54" s="147" t="s">
        <v>176</v>
      </c>
      <c r="T54" s="139">
        <f>COUNTIF(R$7:R54,"Y")</f>
        <v>0</v>
      </c>
    </row>
    <row r="55" spans="1:20" ht="12.75" customHeight="1" x14ac:dyDescent="0.2">
      <c r="A55" s="140" t="str">
        <f t="shared" si="0"/>
        <v/>
      </c>
      <c r="B55" s="26" t="s">
        <v>176</v>
      </c>
      <c r="C55" s="29" t="s">
        <v>59</v>
      </c>
      <c r="D55" s="173" t="s">
        <v>60</v>
      </c>
      <c r="E55" s="19" t="s">
        <v>178</v>
      </c>
      <c r="F55" s="25">
        <v>39.4</v>
      </c>
      <c r="G55" s="25"/>
      <c r="H55" s="23"/>
      <c r="I55" s="156" t="s">
        <v>182</v>
      </c>
      <c r="J55" s="177" t="s">
        <v>191</v>
      </c>
      <c r="K55" s="23"/>
      <c r="L55" s="23">
        <v>39.4</v>
      </c>
      <c r="M55" s="23"/>
      <c r="N55" s="23"/>
      <c r="O55" s="23"/>
      <c r="P55" s="23"/>
      <c r="Q55" s="23"/>
      <c r="R55" s="134" t="s">
        <v>58</v>
      </c>
      <c r="S55" s="147" t="s">
        <v>176</v>
      </c>
      <c r="T55" s="139">
        <f>COUNTIF(R$7:R55,"Y")</f>
        <v>0</v>
      </c>
    </row>
    <row r="56" spans="1:20" ht="12.75" customHeight="1" x14ac:dyDescent="0.2">
      <c r="A56" s="140" t="str">
        <f t="shared" si="0"/>
        <v/>
      </c>
      <c r="B56" s="26" t="s">
        <v>176</v>
      </c>
      <c r="C56" s="29" t="s">
        <v>62</v>
      </c>
      <c r="D56" s="173" t="s">
        <v>60</v>
      </c>
      <c r="E56" s="19" t="s">
        <v>179</v>
      </c>
      <c r="F56" s="25">
        <v>50.16</v>
      </c>
      <c r="G56" s="25"/>
      <c r="H56" s="212"/>
      <c r="I56" s="156" t="s">
        <v>182</v>
      </c>
      <c r="J56" s="177" t="s">
        <v>191</v>
      </c>
      <c r="K56" s="23"/>
      <c r="L56" s="23"/>
      <c r="M56" s="23">
        <v>50.16</v>
      </c>
      <c r="N56" s="23"/>
      <c r="O56" s="23"/>
      <c r="P56" s="23"/>
      <c r="Q56" s="23"/>
      <c r="R56" s="134" t="s">
        <v>58</v>
      </c>
      <c r="S56" s="147" t="s">
        <v>176</v>
      </c>
      <c r="T56" s="139">
        <f>COUNTIF(R$7:R56,"Y")</f>
        <v>0</v>
      </c>
    </row>
    <row r="57" spans="1:20" ht="12.75" customHeight="1" x14ac:dyDescent="0.2">
      <c r="A57" s="140" t="str">
        <f t="shared" si="0"/>
        <v/>
      </c>
      <c r="B57" s="159" t="s">
        <v>182</v>
      </c>
      <c r="C57" s="160" t="s">
        <v>186</v>
      </c>
      <c r="D57" s="187" t="s">
        <v>60</v>
      </c>
      <c r="E57" s="161" t="s">
        <v>80</v>
      </c>
      <c r="F57" s="162">
        <v>35</v>
      </c>
      <c r="G57" s="25"/>
      <c r="H57" s="212"/>
      <c r="I57" s="156" t="s">
        <v>182</v>
      </c>
      <c r="J57" s="213" t="s">
        <v>192</v>
      </c>
      <c r="K57" s="23"/>
      <c r="L57" s="23"/>
      <c r="M57" s="23">
        <v>35</v>
      </c>
      <c r="N57" s="23"/>
      <c r="O57" s="23"/>
      <c r="P57" s="23"/>
      <c r="Q57" s="23"/>
      <c r="R57" s="134" t="s">
        <v>58</v>
      </c>
      <c r="S57" s="147" t="s">
        <v>185</v>
      </c>
      <c r="T57" s="139">
        <f>COUNTIF(R$7:R57,"Y")</f>
        <v>0</v>
      </c>
    </row>
    <row r="58" spans="1:20" ht="12.75" customHeight="1" x14ac:dyDescent="0.2">
      <c r="A58" s="140" t="str">
        <f t="shared" si="0"/>
        <v/>
      </c>
      <c r="B58" s="159" t="s">
        <v>182</v>
      </c>
      <c r="C58" s="160" t="s">
        <v>59</v>
      </c>
      <c r="D58" s="187" t="s">
        <v>60</v>
      </c>
      <c r="E58" s="161" t="s">
        <v>184</v>
      </c>
      <c r="F58" s="162">
        <v>39.4</v>
      </c>
      <c r="G58" s="25"/>
      <c r="H58" s="23"/>
      <c r="I58" s="156" t="s">
        <v>182</v>
      </c>
      <c r="J58" s="177" t="s">
        <v>192</v>
      </c>
      <c r="K58" s="23"/>
      <c r="L58" s="23">
        <v>39.4</v>
      </c>
      <c r="M58" s="23"/>
      <c r="N58" s="23"/>
      <c r="O58" s="23"/>
      <c r="P58" s="23"/>
      <c r="Q58" s="23"/>
      <c r="R58" s="134" t="s">
        <v>58</v>
      </c>
      <c r="S58" s="38" t="s">
        <v>183</v>
      </c>
      <c r="T58" s="139">
        <f>COUNTIF(R$7:R58,"Y")</f>
        <v>0</v>
      </c>
    </row>
    <row r="59" spans="1:20" ht="12.75" customHeight="1" x14ac:dyDescent="0.2">
      <c r="A59" s="140" t="str">
        <f t="shared" si="0"/>
        <v/>
      </c>
      <c r="B59" s="159" t="s">
        <v>182</v>
      </c>
      <c r="C59" s="160" t="s">
        <v>139</v>
      </c>
      <c r="D59" s="187" t="s">
        <v>60</v>
      </c>
      <c r="E59" s="161" t="s">
        <v>187</v>
      </c>
      <c r="F59" s="162">
        <v>157.93</v>
      </c>
      <c r="G59" s="25"/>
      <c r="H59" s="23"/>
      <c r="I59" s="156" t="s">
        <v>182</v>
      </c>
      <c r="J59" s="177" t="s">
        <v>192</v>
      </c>
      <c r="K59" s="23"/>
      <c r="L59" s="23">
        <v>157.93</v>
      </c>
      <c r="M59" s="23"/>
      <c r="N59" s="23"/>
      <c r="O59" s="23"/>
      <c r="P59" s="23"/>
      <c r="Q59" s="23"/>
      <c r="R59" s="134" t="s">
        <v>58</v>
      </c>
      <c r="S59" s="38" t="s">
        <v>183</v>
      </c>
      <c r="T59" s="139">
        <f>COUNTIF(R$7:R59,"Y")</f>
        <v>0</v>
      </c>
    </row>
    <row r="60" spans="1:20" ht="12.75" customHeight="1" x14ac:dyDescent="0.2">
      <c r="A60" s="140" t="str">
        <f t="shared" si="0"/>
        <v/>
      </c>
      <c r="B60" s="159" t="s">
        <v>182</v>
      </c>
      <c r="C60" s="160" t="s">
        <v>188</v>
      </c>
      <c r="D60" s="187" t="s">
        <v>60</v>
      </c>
      <c r="E60" s="161" t="s">
        <v>189</v>
      </c>
      <c r="F60" s="162">
        <v>25</v>
      </c>
      <c r="G60" s="25"/>
      <c r="H60" s="23"/>
      <c r="I60" s="156" t="s">
        <v>182</v>
      </c>
      <c r="J60" s="177" t="s">
        <v>192</v>
      </c>
      <c r="K60" s="23"/>
      <c r="L60" s="23"/>
      <c r="M60" s="23">
        <v>25</v>
      </c>
      <c r="N60" s="23"/>
      <c r="O60" s="23"/>
      <c r="P60" s="23"/>
      <c r="Q60" s="23"/>
      <c r="R60" s="134" t="s">
        <v>58</v>
      </c>
      <c r="S60" s="38" t="s">
        <v>183</v>
      </c>
      <c r="T60" s="139">
        <f>COUNTIF(R$7:R60,"Y")</f>
        <v>0</v>
      </c>
    </row>
    <row r="61" spans="1:20" ht="12.75" customHeight="1" x14ac:dyDescent="0.2">
      <c r="A61" s="140" t="str">
        <f t="shared" si="0"/>
        <v/>
      </c>
      <c r="B61" s="159" t="s">
        <v>182</v>
      </c>
      <c r="C61" s="160" t="s">
        <v>117</v>
      </c>
      <c r="D61" s="187" t="s">
        <v>60</v>
      </c>
      <c r="E61" s="161" t="s">
        <v>193</v>
      </c>
      <c r="F61" s="162">
        <v>40</v>
      </c>
      <c r="G61" s="25"/>
      <c r="H61" s="23"/>
      <c r="I61" s="156" t="s">
        <v>182</v>
      </c>
      <c r="J61" s="177" t="s">
        <v>192</v>
      </c>
      <c r="K61" s="23"/>
      <c r="L61" s="23"/>
      <c r="M61" s="23">
        <v>40</v>
      </c>
      <c r="N61" s="23"/>
      <c r="O61" s="23"/>
      <c r="P61" s="23"/>
      <c r="Q61" s="23"/>
      <c r="R61" s="134" t="s">
        <v>58</v>
      </c>
      <c r="S61" s="38" t="s">
        <v>183</v>
      </c>
      <c r="T61" s="139">
        <f>COUNTIF(R$7:R61,"Y")</f>
        <v>0</v>
      </c>
    </row>
    <row r="62" spans="1:20" ht="12.75" customHeight="1" x14ac:dyDescent="0.2">
      <c r="A62" s="140" t="str">
        <f t="shared" si="0"/>
        <v/>
      </c>
      <c r="B62" s="26"/>
      <c r="C62" s="29"/>
      <c r="D62" s="98"/>
      <c r="E62" s="19"/>
      <c r="F62" s="25"/>
      <c r="G62" s="25"/>
      <c r="H62" s="23"/>
      <c r="I62" s="156"/>
      <c r="J62" s="177"/>
      <c r="K62" s="23"/>
      <c r="L62" s="23"/>
      <c r="M62" s="23"/>
      <c r="N62" s="23"/>
      <c r="O62" s="23"/>
      <c r="P62" s="23"/>
      <c r="Q62" s="23"/>
      <c r="R62" s="134"/>
      <c r="T62" s="139">
        <f>COUNTIF(R$7:R62,"Y")</f>
        <v>0</v>
      </c>
    </row>
    <row r="63" spans="1:20" ht="12.75" customHeight="1" x14ac:dyDescent="0.2">
      <c r="A63" s="140" t="str">
        <f t="shared" si="0"/>
        <v/>
      </c>
      <c r="B63" s="26"/>
      <c r="C63" s="29"/>
      <c r="D63" s="98"/>
      <c r="E63" s="19"/>
      <c r="F63" s="25"/>
      <c r="G63" s="25"/>
      <c r="H63" s="23"/>
      <c r="I63" s="156"/>
      <c r="J63" s="177"/>
      <c r="K63" s="23"/>
      <c r="L63" s="23"/>
      <c r="M63" s="23"/>
      <c r="N63" s="23"/>
      <c r="O63" s="23"/>
      <c r="P63" s="23"/>
      <c r="Q63" s="23"/>
      <c r="R63" s="134"/>
      <c r="T63" s="139">
        <f>COUNTIF(R$7:R63,"Y")</f>
        <v>0</v>
      </c>
    </row>
    <row r="64" spans="1:20" ht="12.75" customHeight="1" x14ac:dyDescent="0.2">
      <c r="A64" s="140" t="str">
        <f t="shared" si="0"/>
        <v/>
      </c>
      <c r="B64" s="26"/>
      <c r="C64" s="29"/>
      <c r="D64" s="98"/>
      <c r="E64" s="19"/>
      <c r="F64" s="25"/>
      <c r="G64" s="25"/>
      <c r="H64" s="23"/>
      <c r="I64" s="156"/>
      <c r="J64" s="177"/>
      <c r="K64" s="23"/>
      <c r="L64" s="23"/>
      <c r="M64" s="23"/>
      <c r="N64" s="23"/>
      <c r="O64" s="23"/>
      <c r="P64" s="23"/>
      <c r="Q64" s="23"/>
      <c r="R64" s="134" t="str">
        <f>IF(ISBLANK(B64),"",IF(S64&lt;Rec!$E$2,"Y","N"))</f>
        <v/>
      </c>
      <c r="T64" s="139">
        <f>COUNTIF(R$7:R64,"Y")</f>
        <v>0</v>
      </c>
    </row>
    <row r="65" spans="1:20" ht="12.75" customHeight="1" x14ac:dyDescent="0.2">
      <c r="A65" s="140" t="str">
        <f t="shared" si="0"/>
        <v/>
      </c>
      <c r="B65" s="26"/>
      <c r="C65" s="29"/>
      <c r="D65" s="98"/>
      <c r="E65" s="19"/>
      <c r="F65" s="25"/>
      <c r="G65" s="25"/>
      <c r="H65" s="23"/>
      <c r="I65" s="156"/>
      <c r="J65" s="177"/>
      <c r="K65" s="23"/>
      <c r="L65" s="23"/>
      <c r="M65" s="23"/>
      <c r="N65" s="23"/>
      <c r="O65" s="23"/>
      <c r="P65" s="23"/>
      <c r="Q65" s="23"/>
      <c r="R65" s="134" t="str">
        <f>IF(ISBLANK(B65),"",IF(S65&lt;Rec!$E$2,"Y","N"))</f>
        <v/>
      </c>
      <c r="T65" s="139">
        <f>COUNTIF(R$7:R65,"Y")</f>
        <v>0</v>
      </c>
    </row>
    <row r="66" spans="1:20" ht="12.75" customHeight="1" x14ac:dyDescent="0.2">
      <c r="A66" s="140" t="str">
        <f t="shared" si="0"/>
        <v/>
      </c>
      <c r="B66" s="26"/>
      <c r="C66" s="29"/>
      <c r="D66" s="98"/>
      <c r="E66" s="19"/>
      <c r="F66" s="25"/>
      <c r="G66" s="25"/>
      <c r="H66" s="23"/>
      <c r="I66" s="156"/>
      <c r="J66" s="177"/>
      <c r="K66" s="23"/>
      <c r="L66" s="23"/>
      <c r="M66" s="23"/>
      <c r="N66" s="23"/>
      <c r="O66" s="23"/>
      <c r="P66" s="23"/>
      <c r="Q66" s="23"/>
      <c r="R66" s="134" t="str">
        <f>IF(ISBLANK(B66),"",IF(S66&lt;Rec!$E$2,"Y","N"))</f>
        <v/>
      </c>
      <c r="T66" s="139">
        <f>COUNTIF(R$7:R66,"Y")</f>
        <v>0</v>
      </c>
    </row>
    <row r="67" spans="1:20" ht="12.75" customHeight="1" x14ac:dyDescent="0.2">
      <c r="A67" s="140" t="str">
        <f t="shared" si="0"/>
        <v/>
      </c>
      <c r="B67" s="26"/>
      <c r="C67" s="29"/>
      <c r="D67" s="98"/>
      <c r="E67" s="19"/>
      <c r="F67" s="25"/>
      <c r="G67" s="25"/>
      <c r="H67" s="23"/>
      <c r="I67" s="156"/>
      <c r="J67" s="177"/>
      <c r="K67" s="23"/>
      <c r="L67" s="23"/>
      <c r="M67" s="23"/>
      <c r="N67" s="23"/>
      <c r="O67" s="23"/>
      <c r="P67" s="23"/>
      <c r="Q67" s="23"/>
      <c r="R67" s="134" t="str">
        <f>IF(ISBLANK(B67),"",IF(S67&lt;Rec!$E$2,"Y","N"))</f>
        <v/>
      </c>
      <c r="T67" s="139">
        <f>COUNTIF(R$7:R67,"Y")</f>
        <v>0</v>
      </c>
    </row>
    <row r="68" spans="1:20" ht="12.75" customHeight="1" x14ac:dyDescent="0.2">
      <c r="A68" s="140" t="str">
        <f t="shared" si="0"/>
        <v/>
      </c>
      <c r="B68" s="26"/>
      <c r="C68" s="29"/>
      <c r="D68" s="98"/>
      <c r="E68" s="19"/>
      <c r="F68" s="25"/>
      <c r="G68" s="25"/>
      <c r="H68" s="23"/>
      <c r="I68" s="156"/>
      <c r="J68" s="177"/>
      <c r="K68" s="23"/>
      <c r="L68" s="23"/>
      <c r="M68" s="23"/>
      <c r="N68" s="23"/>
      <c r="O68" s="23"/>
      <c r="P68" s="23"/>
      <c r="Q68" s="23"/>
      <c r="R68" s="134" t="str">
        <f>IF(ISBLANK(B68),"",IF(S68&lt;Rec!$E$2,"Y","N"))</f>
        <v/>
      </c>
      <c r="T68" s="139">
        <f>COUNTIF(R$7:R68,"Y")</f>
        <v>0</v>
      </c>
    </row>
    <row r="69" spans="1:20" ht="12.75" customHeight="1" x14ac:dyDescent="0.2">
      <c r="A69" s="140" t="str">
        <f t="shared" si="0"/>
        <v/>
      </c>
      <c r="B69" s="26"/>
      <c r="C69" s="29"/>
      <c r="D69" s="98"/>
      <c r="E69" s="19"/>
      <c r="F69" s="25"/>
      <c r="G69" s="25"/>
      <c r="H69" s="23"/>
      <c r="I69" s="156"/>
      <c r="J69" s="177"/>
      <c r="K69" s="23"/>
      <c r="L69" s="23"/>
      <c r="M69" s="23"/>
      <c r="N69" s="23"/>
      <c r="O69" s="23"/>
      <c r="P69" s="23"/>
      <c r="Q69" s="23"/>
      <c r="R69" s="134" t="str">
        <f>IF(ISBLANK(B69),"",IF(S69&lt;Rec!$E$2,"Y","N"))</f>
        <v/>
      </c>
      <c r="T69" s="139">
        <f>COUNTIF(R$7:R69,"Y")</f>
        <v>0</v>
      </c>
    </row>
    <row r="70" spans="1:20" ht="12.75" customHeight="1" x14ac:dyDescent="0.2">
      <c r="A70" s="140" t="str">
        <f t="shared" si="0"/>
        <v/>
      </c>
      <c r="B70" s="26"/>
      <c r="C70" s="29"/>
      <c r="D70" s="98"/>
      <c r="E70" s="19"/>
      <c r="F70" s="25"/>
      <c r="G70" s="25"/>
      <c r="H70" s="23"/>
      <c r="I70" s="156"/>
      <c r="J70" s="177"/>
      <c r="K70" s="23"/>
      <c r="L70" s="23"/>
      <c r="M70" s="23"/>
      <c r="N70" s="23"/>
      <c r="O70" s="23"/>
      <c r="P70" s="23"/>
      <c r="Q70" s="23"/>
      <c r="R70" s="134"/>
      <c r="T70" s="139">
        <f>COUNTIF(R$7:R70,"Y")</f>
        <v>0</v>
      </c>
    </row>
    <row r="71" spans="1:20" ht="12.75" customHeight="1" x14ac:dyDescent="0.2">
      <c r="A71" s="140" t="str">
        <f t="shared" si="0"/>
        <v/>
      </c>
      <c r="B71" s="26"/>
      <c r="C71" s="29"/>
      <c r="D71" s="98"/>
      <c r="E71" s="19"/>
      <c r="F71" s="25"/>
      <c r="G71" s="25"/>
      <c r="H71" s="23"/>
      <c r="I71" s="156"/>
      <c r="J71" s="177"/>
      <c r="K71" s="23"/>
      <c r="L71" s="23"/>
      <c r="M71" s="23"/>
      <c r="N71" s="23"/>
      <c r="O71" s="23"/>
      <c r="P71" s="23"/>
      <c r="Q71" s="23"/>
      <c r="R71" s="134"/>
      <c r="T71" s="139">
        <f>COUNTIF(R$7:R71,"Y")</f>
        <v>0</v>
      </c>
    </row>
    <row r="72" spans="1:20" ht="12.75" customHeight="1" x14ac:dyDescent="0.2">
      <c r="B72" s="26" t="s">
        <v>27</v>
      </c>
      <c r="C72" s="29"/>
      <c r="D72" s="98"/>
      <c r="E72" s="19"/>
      <c r="F72" s="25">
        <f>SUM(F8:F71)</f>
        <v>5980.4</v>
      </c>
      <c r="G72" s="25">
        <f>SUM(G15:G71)</f>
        <v>0</v>
      </c>
      <c r="H72" s="25">
        <f>SUM(H8:H71)</f>
        <v>79.650000000000006</v>
      </c>
      <c r="I72" s="22" t="s">
        <v>27</v>
      </c>
      <c r="J72" s="24" t="s">
        <v>55</v>
      </c>
      <c r="K72" s="23"/>
      <c r="L72" s="25">
        <f>SUM(L8:L71)</f>
        <v>2367.9300000000003</v>
      </c>
      <c r="M72" s="25">
        <f>SUM(M8:M71)</f>
        <v>2329.7799999999997</v>
      </c>
      <c r="N72" s="25">
        <f>SUM(N8:N71)</f>
        <v>728.33999999999992</v>
      </c>
      <c r="O72" s="25">
        <f>SUM(O8:O71)</f>
        <v>310</v>
      </c>
      <c r="P72" s="25">
        <f>SUM(P8:P71)</f>
        <v>244.75</v>
      </c>
      <c r="Q72" s="23"/>
      <c r="R72" s="134"/>
      <c r="T72" s="137"/>
    </row>
    <row r="73" spans="1:20" ht="12.75" customHeight="1" x14ac:dyDescent="0.2">
      <c r="B73" s="9"/>
      <c r="F73" s="20"/>
      <c r="G73" s="20"/>
      <c r="H73" s="28"/>
      <c r="I73" s="179"/>
      <c r="J73" s="180"/>
      <c r="K73" s="28"/>
      <c r="L73" s="28"/>
      <c r="M73" s="28"/>
      <c r="N73" s="28"/>
      <c r="O73" s="28"/>
      <c r="P73" s="28"/>
      <c r="Q73" s="28"/>
      <c r="R73" s="135"/>
      <c r="T73" s="137"/>
    </row>
    <row r="74" spans="1:20" ht="12.75" customHeight="1" x14ac:dyDescent="0.2">
      <c r="B74" s="9"/>
      <c r="F74" s="20"/>
      <c r="G74" s="20"/>
      <c r="H74" s="35"/>
      <c r="J74" s="180"/>
      <c r="K74" s="27" t="s">
        <v>19</v>
      </c>
      <c r="L74" s="28"/>
      <c r="M74" s="28"/>
      <c r="N74" s="28"/>
      <c r="O74" s="28"/>
      <c r="P74" s="28"/>
      <c r="Q74" s="28"/>
      <c r="R74" s="135"/>
      <c r="T74" s="137"/>
    </row>
    <row r="75" spans="1:20" ht="12.75" customHeight="1" x14ac:dyDescent="0.2">
      <c r="B75" s="9"/>
      <c r="F75" s="20"/>
      <c r="G75" s="20"/>
      <c r="H75" s="28"/>
      <c r="I75" s="179"/>
      <c r="J75" s="180"/>
      <c r="K75" s="27" t="s">
        <v>20</v>
      </c>
      <c r="L75" s="28"/>
      <c r="M75" s="28"/>
      <c r="N75" s="28"/>
      <c r="O75" s="28"/>
      <c r="P75" s="28"/>
      <c r="Q75" s="28"/>
      <c r="R75" s="135"/>
      <c r="T75" s="137"/>
    </row>
    <row r="76" spans="1:20" ht="12.75" customHeight="1" x14ac:dyDescent="0.2">
      <c r="B76" s="9"/>
      <c r="F76" s="20"/>
      <c r="G76" s="20"/>
      <c r="H76" s="28"/>
      <c r="I76" s="179"/>
      <c r="J76" s="180"/>
      <c r="K76" s="27" t="s">
        <v>21</v>
      </c>
      <c r="L76" s="28"/>
      <c r="M76" s="28"/>
      <c r="N76" s="28"/>
      <c r="O76" s="28"/>
      <c r="P76" s="28"/>
      <c r="Q76" s="28"/>
      <c r="R76" s="135"/>
      <c r="T76" s="137"/>
    </row>
    <row r="77" spans="1:20" ht="12.75" customHeight="1" x14ac:dyDescent="0.2">
      <c r="B77" s="9"/>
      <c r="F77" s="20"/>
      <c r="G77" s="20"/>
      <c r="H77" s="28"/>
      <c r="I77" s="179"/>
      <c r="J77" s="180"/>
      <c r="K77" s="27"/>
      <c r="L77" s="28"/>
      <c r="M77" s="28"/>
      <c r="N77" s="28"/>
      <c r="O77" s="28"/>
      <c r="P77" s="28"/>
      <c r="Q77" s="28"/>
      <c r="R77" s="135"/>
      <c r="T77" s="137"/>
    </row>
    <row r="78" spans="1:20" ht="12.75" customHeight="1" x14ac:dyDescent="0.2">
      <c r="B78" s="9"/>
      <c r="F78" s="20"/>
      <c r="G78" s="20"/>
      <c r="H78" s="28"/>
      <c r="I78" s="179"/>
      <c r="J78" s="180"/>
      <c r="K78" s="36" t="s">
        <v>22</v>
      </c>
      <c r="M78" s="28"/>
      <c r="N78" s="28"/>
      <c r="O78" s="28"/>
      <c r="P78" s="28"/>
      <c r="Q78" s="28"/>
      <c r="R78" s="135"/>
      <c r="T78" s="137"/>
    </row>
    <row r="79" spans="1:20" ht="12.75" customHeight="1" x14ac:dyDescent="0.2">
      <c r="B79" s="9"/>
      <c r="F79" s="20"/>
      <c r="G79" s="20"/>
      <c r="H79" s="28"/>
      <c r="I79" s="179"/>
      <c r="J79" s="180"/>
      <c r="K79" s="27" t="s">
        <v>23</v>
      </c>
      <c r="L79" s="28"/>
      <c r="M79" s="28"/>
      <c r="N79" s="28"/>
      <c r="O79" s="28"/>
      <c r="P79" s="28"/>
      <c r="Q79" s="28"/>
      <c r="R79" s="135"/>
      <c r="T79" s="137"/>
    </row>
    <row r="80" spans="1:20" ht="12.75" customHeight="1" x14ac:dyDescent="0.2">
      <c r="B80" s="9"/>
      <c r="E80" s="37"/>
      <c r="F80" s="20"/>
      <c r="G80" s="20"/>
      <c r="H80" s="28"/>
      <c r="I80" s="179"/>
      <c r="J80" s="180"/>
      <c r="K80" s="27" t="s">
        <v>24</v>
      </c>
      <c r="L80" s="28"/>
      <c r="M80" s="28"/>
      <c r="N80" s="28"/>
      <c r="O80" s="28"/>
      <c r="P80" s="28"/>
      <c r="Q80" s="28"/>
      <c r="R80" s="135"/>
      <c r="T80" s="137"/>
    </row>
    <row r="81" spans="2:20" ht="12.75" customHeight="1" x14ac:dyDescent="0.2">
      <c r="B81" s="9"/>
      <c r="F81" s="20"/>
      <c r="G81" s="20"/>
      <c r="H81" s="28"/>
      <c r="I81" s="179"/>
      <c r="J81" s="180"/>
      <c r="K81" s="28"/>
      <c r="M81" s="28"/>
      <c r="N81" s="28"/>
      <c r="O81" s="28"/>
      <c r="P81" s="28"/>
      <c r="Q81" s="28"/>
      <c r="R81" s="135"/>
      <c r="T81" s="137"/>
    </row>
    <row r="82" spans="2:20" ht="12.75" customHeight="1" x14ac:dyDescent="0.2">
      <c r="B82" s="9"/>
      <c r="F82" s="20"/>
      <c r="G82" s="20"/>
      <c r="H82" s="28"/>
      <c r="I82" s="179"/>
      <c r="J82" s="180"/>
      <c r="K82" s="28"/>
      <c r="L82" s="28"/>
      <c r="M82" s="28"/>
      <c r="N82" s="28"/>
      <c r="O82" s="28"/>
      <c r="P82" s="28"/>
      <c r="Q82" s="28"/>
      <c r="R82" s="135"/>
      <c r="T82" s="137"/>
    </row>
    <row r="83" spans="2:20" ht="12.75" customHeight="1" x14ac:dyDescent="0.2">
      <c r="B83" s="9"/>
      <c r="F83" s="20"/>
      <c r="G83" s="20"/>
      <c r="H83" s="28"/>
      <c r="I83" s="179"/>
      <c r="J83" s="180"/>
      <c r="K83" s="35" t="s">
        <v>25</v>
      </c>
      <c r="L83" s="28"/>
      <c r="M83" s="28"/>
      <c r="N83" s="28"/>
      <c r="O83" s="28"/>
      <c r="P83" s="28"/>
      <c r="Q83" s="28"/>
      <c r="R83" s="135"/>
      <c r="T83" s="137"/>
    </row>
    <row r="84" spans="2:20" ht="12.75" customHeight="1" x14ac:dyDescent="0.2">
      <c r="B84" s="9"/>
      <c r="F84" s="20"/>
      <c r="G84" s="20"/>
      <c r="H84" s="28"/>
      <c r="I84" s="179"/>
      <c r="J84" s="180"/>
      <c r="K84" s="35" t="s">
        <v>26</v>
      </c>
      <c r="L84" s="28"/>
      <c r="M84" s="28"/>
      <c r="N84" s="28"/>
      <c r="O84" s="28"/>
      <c r="P84" s="28"/>
      <c r="Q84" s="28"/>
      <c r="R84" s="135"/>
      <c r="T84" s="137"/>
    </row>
    <row r="85" spans="2:20" ht="12.75" customHeight="1" x14ac:dyDescent="0.2">
      <c r="B85" s="9"/>
      <c r="F85" s="20"/>
      <c r="G85" s="20"/>
      <c r="H85" s="28"/>
      <c r="I85" s="179"/>
      <c r="J85" s="180"/>
      <c r="K85" s="28"/>
      <c r="L85" s="28"/>
      <c r="M85" s="28"/>
      <c r="N85" s="28"/>
      <c r="O85" s="28"/>
      <c r="P85" s="28"/>
      <c r="Q85" s="28"/>
      <c r="R85" s="135"/>
      <c r="T85" s="137"/>
    </row>
    <row r="86" spans="2:20" ht="12.75" customHeight="1" x14ac:dyDescent="0.2">
      <c r="B86" s="9"/>
      <c r="F86" s="20"/>
      <c r="G86" s="20"/>
      <c r="H86" s="28"/>
      <c r="I86" s="179"/>
      <c r="J86" s="180"/>
      <c r="K86" s="28"/>
      <c r="L86" s="28"/>
      <c r="M86" s="28"/>
      <c r="N86" s="28"/>
      <c r="O86" s="28"/>
      <c r="P86" s="28"/>
      <c r="Q86" s="28"/>
      <c r="R86" s="135"/>
      <c r="T86" s="137"/>
    </row>
    <row r="87" spans="2:20" ht="12.75" customHeight="1" x14ac:dyDescent="0.2">
      <c r="B87" s="9"/>
      <c r="F87" s="20"/>
      <c r="G87" s="20"/>
      <c r="H87" s="28"/>
      <c r="I87" s="179"/>
      <c r="J87" s="180"/>
      <c r="K87" s="28"/>
      <c r="L87" s="28"/>
      <c r="M87" s="28"/>
      <c r="N87" s="28"/>
      <c r="O87" s="28"/>
      <c r="P87" s="28"/>
      <c r="Q87" s="28"/>
      <c r="R87" s="135"/>
      <c r="T87" s="137"/>
    </row>
    <row r="88" spans="2:20" ht="12.75" customHeight="1" x14ac:dyDescent="0.2">
      <c r="B88" s="9"/>
      <c r="F88" s="20"/>
      <c r="G88" s="20"/>
      <c r="H88" s="28"/>
      <c r="I88" s="179"/>
      <c r="J88" s="180"/>
      <c r="K88" s="28"/>
      <c r="L88" s="28"/>
      <c r="M88" s="28"/>
      <c r="N88" s="28"/>
      <c r="O88" s="28"/>
      <c r="P88" s="28"/>
      <c r="Q88" s="28"/>
      <c r="R88" s="135"/>
      <c r="T88" s="137"/>
    </row>
    <row r="89" spans="2:20" ht="12.75" customHeight="1" x14ac:dyDescent="0.2">
      <c r="B89" s="9"/>
      <c r="F89" s="20"/>
      <c r="G89" s="20"/>
      <c r="H89" s="28"/>
      <c r="I89" s="179"/>
      <c r="J89" s="180"/>
      <c r="K89" s="28"/>
      <c r="L89" s="28"/>
      <c r="M89" s="28"/>
      <c r="N89" s="28"/>
      <c r="O89" s="28"/>
      <c r="P89" s="28"/>
      <c r="Q89" s="28"/>
      <c r="R89" s="135"/>
      <c r="T89" s="137"/>
    </row>
    <row r="90" spans="2:20" ht="12.75" customHeight="1" x14ac:dyDescent="0.2">
      <c r="B90" s="9"/>
      <c r="F90" s="20"/>
      <c r="G90" s="20"/>
      <c r="H90" s="28"/>
      <c r="I90" s="179"/>
      <c r="J90" s="180"/>
      <c r="K90" s="28"/>
      <c r="L90" s="28"/>
      <c r="M90" s="28"/>
      <c r="N90" s="28"/>
      <c r="O90" s="28"/>
      <c r="P90" s="28"/>
      <c r="Q90" s="28"/>
      <c r="R90" s="135"/>
      <c r="T90" s="137"/>
    </row>
    <row r="91" spans="2:20" ht="12.75" customHeight="1" x14ac:dyDescent="0.2">
      <c r="B91" s="9"/>
      <c r="F91" s="20"/>
      <c r="G91" s="20"/>
      <c r="H91" s="28"/>
      <c r="I91" s="179"/>
      <c r="J91" s="180"/>
      <c r="K91" s="28"/>
      <c r="L91" s="28"/>
      <c r="M91" s="28"/>
      <c r="N91" s="28"/>
      <c r="O91" s="28"/>
      <c r="P91" s="28"/>
      <c r="Q91" s="28"/>
      <c r="R91" s="135"/>
      <c r="T91" s="137"/>
    </row>
    <row r="92" spans="2:20" ht="12.75" customHeight="1" x14ac:dyDescent="0.2">
      <c r="B92" s="9"/>
      <c r="F92" s="20"/>
      <c r="G92" s="20"/>
      <c r="H92" s="28"/>
      <c r="I92" s="179"/>
      <c r="J92" s="180"/>
      <c r="K92" s="28"/>
      <c r="L92" s="28"/>
      <c r="M92" s="28"/>
      <c r="N92" s="28"/>
      <c r="O92" s="28"/>
      <c r="P92" s="28"/>
      <c r="Q92" s="28"/>
      <c r="R92" s="135"/>
      <c r="T92" s="137"/>
    </row>
    <row r="93" spans="2:20" ht="12.75" customHeight="1" x14ac:dyDescent="0.2">
      <c r="B93" s="9"/>
      <c r="F93" s="20"/>
      <c r="G93" s="20"/>
      <c r="H93" s="28"/>
      <c r="I93" s="179"/>
      <c r="J93" s="180"/>
      <c r="K93" s="28"/>
      <c r="L93" s="28"/>
      <c r="M93" s="28"/>
      <c r="N93" s="28"/>
      <c r="O93" s="28"/>
      <c r="P93" s="28"/>
      <c r="Q93" s="28"/>
      <c r="R93" s="135"/>
      <c r="T93" s="137"/>
    </row>
    <row r="94" spans="2:20" ht="12.75" customHeight="1" x14ac:dyDescent="0.2">
      <c r="B94" s="9"/>
      <c r="F94" s="20"/>
      <c r="G94" s="20"/>
      <c r="H94" s="28"/>
      <c r="I94" s="179"/>
      <c r="J94" s="180"/>
      <c r="K94" s="28"/>
      <c r="L94" s="28"/>
      <c r="M94" s="28"/>
      <c r="N94" s="28"/>
      <c r="O94" s="28"/>
      <c r="P94" s="28"/>
      <c r="Q94" s="28"/>
      <c r="R94" s="135"/>
      <c r="T94" s="137"/>
    </row>
    <row r="95" spans="2:20" ht="12.75" customHeight="1" x14ac:dyDescent="0.2">
      <c r="B95" s="9"/>
      <c r="I95" s="179"/>
      <c r="J95" s="180"/>
      <c r="P95" s="2"/>
      <c r="Q95" s="2"/>
      <c r="R95" s="131"/>
      <c r="T95" s="137"/>
    </row>
    <row r="96" spans="2:20" ht="12.75" customHeight="1" x14ac:dyDescent="0.2">
      <c r="B96" s="9"/>
      <c r="I96" s="179"/>
      <c r="J96" s="180"/>
      <c r="P96" s="2"/>
      <c r="Q96" s="2"/>
      <c r="R96" s="131"/>
      <c r="T96" s="137"/>
    </row>
    <row r="97" spans="2:20" ht="12.75" customHeight="1" x14ac:dyDescent="0.2">
      <c r="B97" s="9"/>
      <c r="P97" s="2"/>
      <c r="Q97" s="2"/>
      <c r="R97" s="131"/>
      <c r="T97" s="137"/>
    </row>
    <row r="98" spans="2:20" ht="12.75" customHeight="1" x14ac:dyDescent="0.2">
      <c r="B98" s="9"/>
      <c r="P98" s="2"/>
      <c r="Q98" s="2"/>
      <c r="R98" s="131"/>
      <c r="T98" s="137"/>
    </row>
    <row r="99" spans="2:20" ht="12.75" customHeight="1" x14ac:dyDescent="0.2">
      <c r="B99" s="9"/>
      <c r="P99" s="2"/>
      <c r="Q99" s="2"/>
      <c r="R99" s="131"/>
      <c r="T99" s="137"/>
    </row>
    <row r="100" spans="2:20" ht="12.75" customHeight="1" x14ac:dyDescent="0.2">
      <c r="B100" s="9"/>
      <c r="P100" s="2"/>
      <c r="Q100" s="2"/>
      <c r="R100" s="131"/>
      <c r="T100" s="137"/>
    </row>
    <row r="101" spans="2:20" ht="12.75" customHeight="1" x14ac:dyDescent="0.2">
      <c r="B101" s="9"/>
      <c r="P101" s="2"/>
      <c r="Q101" s="2"/>
      <c r="R101" s="131"/>
      <c r="T101" s="137"/>
    </row>
    <row r="102" spans="2:20" ht="12.75" customHeight="1" x14ac:dyDescent="0.2">
      <c r="B102" s="9"/>
      <c r="P102" s="2"/>
      <c r="Q102" s="2"/>
      <c r="R102" s="131"/>
      <c r="T102" s="137"/>
    </row>
    <row r="103" spans="2:20" ht="12.75" customHeight="1" x14ac:dyDescent="0.2">
      <c r="B103" s="9"/>
      <c r="P103" s="2"/>
      <c r="Q103" s="2"/>
      <c r="R103" s="131"/>
      <c r="T103" s="137"/>
    </row>
    <row r="104" spans="2:20" ht="12.75" customHeight="1" x14ac:dyDescent="0.2">
      <c r="B104" s="9"/>
      <c r="P104" s="2"/>
      <c r="Q104" s="2"/>
      <c r="R104" s="131"/>
      <c r="T104" s="137"/>
    </row>
    <row r="105" spans="2:20" ht="12.75" customHeight="1" x14ac:dyDescent="0.2">
      <c r="B105" s="9"/>
      <c r="P105" s="2"/>
      <c r="Q105" s="2"/>
      <c r="R105" s="131"/>
      <c r="T105" s="137"/>
    </row>
    <row r="106" spans="2:20" ht="12.75" customHeight="1" x14ac:dyDescent="0.2">
      <c r="B106" s="9"/>
      <c r="P106" s="2"/>
      <c r="Q106" s="2"/>
      <c r="R106" s="131"/>
      <c r="T106" s="137"/>
    </row>
    <row r="107" spans="2:20" ht="12.75" customHeight="1" x14ac:dyDescent="0.2">
      <c r="B107" s="9"/>
      <c r="P107" s="2"/>
      <c r="Q107" s="2"/>
      <c r="R107" s="131"/>
      <c r="T107" s="137"/>
    </row>
    <row r="108" spans="2:20" ht="12.75" customHeight="1" x14ac:dyDescent="0.2">
      <c r="B108" s="9"/>
      <c r="P108" s="2"/>
      <c r="Q108" s="2"/>
      <c r="R108" s="131"/>
      <c r="T108" s="137"/>
    </row>
    <row r="109" spans="2:20" ht="12.75" customHeight="1" x14ac:dyDescent="0.2">
      <c r="B109" s="9"/>
      <c r="P109" s="2"/>
      <c r="Q109" s="2"/>
      <c r="R109" s="131"/>
      <c r="T109" s="137"/>
    </row>
    <row r="110" spans="2:20" ht="12.75" customHeight="1" x14ac:dyDescent="0.2">
      <c r="B110" s="9"/>
      <c r="P110" s="2"/>
      <c r="Q110" s="2"/>
      <c r="R110" s="131"/>
      <c r="T110" s="137"/>
    </row>
    <row r="111" spans="2:20" ht="12.75" customHeight="1" x14ac:dyDescent="0.2">
      <c r="B111" s="9"/>
      <c r="P111" s="2"/>
      <c r="Q111" s="2"/>
      <c r="R111" s="131"/>
      <c r="T111" s="137"/>
    </row>
    <row r="112" spans="2:20" ht="12.75" customHeight="1" x14ac:dyDescent="0.2">
      <c r="B112" s="9"/>
      <c r="P112" s="2"/>
      <c r="Q112" s="2"/>
      <c r="R112" s="131"/>
      <c r="T112" s="137"/>
    </row>
    <row r="113" spans="2:20" ht="12.75" customHeight="1" x14ac:dyDescent="0.2">
      <c r="B113" s="9"/>
      <c r="P113" s="2"/>
      <c r="Q113" s="2"/>
      <c r="R113" s="131"/>
      <c r="T113" s="137"/>
    </row>
    <row r="114" spans="2:20" ht="12.75" customHeight="1" x14ac:dyDescent="0.2">
      <c r="B114" s="9"/>
      <c r="P114" s="2"/>
      <c r="Q114" s="2"/>
      <c r="R114" s="131"/>
      <c r="T114" s="137"/>
    </row>
  </sheetData>
  <sheetProtection selectLockedCells="1" selectUnlockedCells="1"/>
  <autoFilter ref="B7:R96" xr:uid="{00000000-0009-0000-0000-000001000000}"/>
  <mergeCells count="3">
    <mergeCell ref="B1:F1"/>
    <mergeCell ref="B3:D3"/>
    <mergeCell ref="G1:I1"/>
  </mergeCells>
  <pageMargins left="0.7" right="0.7" top="0.75" bottom="0.75" header="0.3" footer="0.3"/>
  <pageSetup paperSize="9" scale="44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B8" sqref="B8"/>
    </sheetView>
  </sheetViews>
  <sheetFormatPr defaultColWidth="11.5703125" defaultRowHeight="12.95" customHeight="1" x14ac:dyDescent="0.2"/>
  <cols>
    <col min="1" max="1" width="37.85546875" customWidth="1"/>
    <col min="2" max="7" width="12.85546875" customWidth="1"/>
  </cols>
  <sheetData>
    <row r="1" spans="1:7" ht="15.6" customHeight="1" x14ac:dyDescent="0.25">
      <c r="A1" s="217" t="s">
        <v>0</v>
      </c>
      <c r="B1" s="217"/>
      <c r="C1" s="217"/>
      <c r="D1" s="217"/>
      <c r="E1" s="217"/>
      <c r="F1" s="2"/>
    </row>
    <row r="2" spans="1:7" ht="12.75" x14ac:dyDescent="0.2">
      <c r="A2" s="38"/>
      <c r="B2" s="1"/>
      <c r="C2" s="1"/>
      <c r="D2" s="1"/>
    </row>
    <row r="3" spans="1:7" ht="13.35" customHeight="1" x14ac:dyDescent="0.2">
      <c r="A3" s="215" t="s">
        <v>66</v>
      </c>
      <c r="B3" s="215"/>
      <c r="C3" s="215"/>
      <c r="D3" s="215"/>
    </row>
    <row r="4" spans="1:7" ht="12.75" x14ac:dyDescent="0.2">
      <c r="B4" t="s">
        <v>4</v>
      </c>
      <c r="C4" t="s">
        <v>5</v>
      </c>
      <c r="D4" t="s">
        <v>27</v>
      </c>
    </row>
    <row r="5" spans="1:7" ht="12.75" x14ac:dyDescent="0.2">
      <c r="A5" s="39" t="s">
        <v>28</v>
      </c>
    </row>
    <row r="6" spans="1:7" ht="12.75" x14ac:dyDescent="0.2"/>
    <row r="7" spans="1:7" ht="12.75" x14ac:dyDescent="0.2">
      <c r="A7" s="40" t="s">
        <v>63</v>
      </c>
      <c r="B7" s="41">
        <v>5072.49</v>
      </c>
      <c r="C7" s="41"/>
      <c r="D7" s="42"/>
      <c r="E7" s="43"/>
      <c r="F7" s="43"/>
      <c r="G7" s="43"/>
    </row>
    <row r="8" spans="1:7" ht="12.75" x14ac:dyDescent="0.2">
      <c r="A8" s="40" t="s">
        <v>29</v>
      </c>
      <c r="B8" s="41">
        <f>Receipts!D36</f>
        <v>5992.87</v>
      </c>
      <c r="C8" s="41"/>
      <c r="D8" s="42"/>
      <c r="E8" s="43"/>
      <c r="F8" s="43"/>
      <c r="G8" s="43"/>
    </row>
    <row r="9" spans="1:7" ht="12.75" x14ac:dyDescent="0.2">
      <c r="A9" s="40" t="s">
        <v>30</v>
      </c>
      <c r="B9" s="41">
        <f>-Payments!F72</f>
        <v>-5980.4</v>
      </c>
      <c r="C9" s="41"/>
      <c r="D9" s="42"/>
      <c r="E9" s="43"/>
      <c r="F9" s="43"/>
      <c r="G9" s="43"/>
    </row>
    <row r="10" spans="1:7" ht="12.75" x14ac:dyDescent="0.2">
      <c r="A10" s="39"/>
      <c r="B10" s="41"/>
      <c r="C10" s="41"/>
      <c r="D10" s="44"/>
      <c r="E10" s="43"/>
      <c r="F10" s="43"/>
      <c r="G10" s="43"/>
    </row>
    <row r="11" spans="1:7" ht="12.75" x14ac:dyDescent="0.2">
      <c r="A11" s="40" t="s">
        <v>64</v>
      </c>
      <c r="B11" s="41">
        <f>SUM(B7:B10)</f>
        <v>5084.9600000000009</v>
      </c>
      <c r="C11" s="41"/>
      <c r="D11" s="42"/>
      <c r="E11" s="43"/>
      <c r="F11" s="43"/>
      <c r="G11" s="43"/>
    </row>
    <row r="12" spans="1:7" ht="12.95" customHeight="1" x14ac:dyDescent="0.2">
      <c r="A12" s="45"/>
    </row>
    <row r="13" spans="1:7" ht="12.95" customHeight="1" x14ac:dyDescent="0.2">
      <c r="A13" s="45"/>
    </row>
    <row r="14" spans="1:7" ht="12.95" customHeight="1" x14ac:dyDescent="0.2">
      <c r="C14" s="46"/>
    </row>
    <row r="16" spans="1:7" ht="12.95" customHeight="1" x14ac:dyDescent="0.2">
      <c r="A16" s="45"/>
    </row>
  </sheetData>
  <sheetProtection selectLockedCells="1" selectUnlockedCells="1"/>
  <mergeCells count="2">
    <mergeCell ref="A1:E1"/>
    <mergeCell ref="A3:D3"/>
  </mergeCells>
  <pageMargins left="0.7" right="0.7" top="0.75" bottom="0.75" header="0.3" footer="0.3"/>
  <pageSetup paperSize="9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opLeftCell="A13" workbookViewId="0">
      <selection activeCell="C21" sqref="C21"/>
    </sheetView>
  </sheetViews>
  <sheetFormatPr defaultColWidth="11.5703125" defaultRowHeight="12.95" customHeight="1" x14ac:dyDescent="0.2"/>
  <cols>
    <col min="1" max="1" width="41.140625" customWidth="1"/>
    <col min="2" max="3" width="12.85546875" style="47" customWidth="1"/>
    <col min="4" max="4" width="14.85546875" customWidth="1"/>
    <col min="5" max="6" width="12.85546875" customWidth="1"/>
    <col min="8" max="19" width="19.7109375" customWidth="1"/>
    <col min="20" max="20" width="24.7109375" customWidth="1"/>
    <col min="21" max="21" width="19.140625" customWidth="1"/>
    <col min="22" max="23" width="18.7109375" bestFit="1" customWidth="1"/>
    <col min="24" max="25" width="14.140625" bestFit="1" customWidth="1"/>
    <col min="26" max="26" width="20.7109375" bestFit="1" customWidth="1"/>
    <col min="27" max="27" width="20.28515625" bestFit="1" customWidth="1"/>
    <col min="28" max="28" width="20.7109375" bestFit="1" customWidth="1"/>
    <col min="29" max="29" width="20.28515625" bestFit="1" customWidth="1"/>
    <col min="30" max="30" width="19.140625" bestFit="1" customWidth="1"/>
    <col min="31" max="31" width="18.7109375" bestFit="1" customWidth="1"/>
  </cols>
  <sheetData>
    <row r="1" spans="1:7" ht="12.75" x14ac:dyDescent="0.2">
      <c r="A1" s="48" t="s">
        <v>31</v>
      </c>
      <c r="B1" s="49"/>
      <c r="C1" s="49"/>
      <c r="D1" s="50"/>
      <c r="E1" s="50"/>
    </row>
    <row r="2" spans="1:7" ht="12.75" customHeight="1" x14ac:dyDescent="0.2">
      <c r="A2" s="48" t="s">
        <v>32</v>
      </c>
      <c r="D2" s="49" t="s">
        <v>43</v>
      </c>
      <c r="E2" s="104">
        <v>45016</v>
      </c>
      <c r="G2" t="s">
        <v>51</v>
      </c>
    </row>
    <row r="3" spans="1:7" ht="17.649999999999999" customHeight="1" x14ac:dyDescent="0.25">
      <c r="A3" s="219"/>
      <c r="B3" s="219"/>
      <c r="C3" s="219"/>
      <c r="D3" s="219"/>
      <c r="E3" s="219"/>
      <c r="F3" s="1"/>
    </row>
    <row r="4" spans="1:7" ht="17.649999999999999" customHeight="1" x14ac:dyDescent="0.25">
      <c r="A4" s="103"/>
      <c r="B4" s="108"/>
      <c r="C4" s="109"/>
      <c r="D4" s="103" t="s">
        <v>4</v>
      </c>
      <c r="E4" s="103" t="s">
        <v>5</v>
      </c>
      <c r="F4" s="1"/>
    </row>
    <row r="5" spans="1:7" ht="17.649999999999999" customHeight="1" x14ac:dyDescent="0.25">
      <c r="A5" s="105" t="s">
        <v>44</v>
      </c>
      <c r="B5" s="108"/>
      <c r="C5" s="109"/>
      <c r="D5" s="106">
        <f>Summary!B7</f>
        <v>5072.49</v>
      </c>
      <c r="E5" s="106">
        <f>Summary!C7</f>
        <v>0</v>
      </c>
      <c r="F5" s="1"/>
      <c r="G5" t="s">
        <v>56</v>
      </c>
    </row>
    <row r="6" spans="1:7" ht="17.649999999999999" customHeight="1" x14ac:dyDescent="0.25">
      <c r="A6" s="105" t="s">
        <v>45</v>
      </c>
      <c r="B6" s="108"/>
      <c r="C6" s="109"/>
      <c r="D6" s="106">
        <f>SUMIF(Receipts!$B$8:$B$35,"&lt;Rec!$E$2",Receipts!D$8:D$35)</f>
        <v>5992.87</v>
      </c>
      <c r="E6" s="106">
        <f>SUMIF(Receipts!$B$10:$B$35,"&lt;Rec!$E$2",Receipts!E$10:E$35)</f>
        <v>0</v>
      </c>
      <c r="F6" s="1"/>
    </row>
    <row r="7" spans="1:7" ht="17.649999999999999" customHeight="1" x14ac:dyDescent="0.25">
      <c r="A7" s="105" t="s">
        <v>46</v>
      </c>
      <c r="B7" s="108"/>
      <c r="C7" s="109"/>
      <c r="D7" s="106">
        <f>-SUMIF(Payments!$B$8:$B$66,"&lt;Rec!$E2",Payments!F$8:F$66)</f>
        <v>-5980.4</v>
      </c>
      <c r="E7" s="106">
        <f>-SUMIF(Payments!$B$16:$B$71,"&lt;Rec!$E$2",Payments!G$16:G$71)</f>
        <v>0</v>
      </c>
      <c r="F7" s="1"/>
    </row>
    <row r="8" spans="1:7" ht="18" x14ac:dyDescent="0.25">
      <c r="A8" s="110" t="s">
        <v>33</v>
      </c>
      <c r="B8" s="111"/>
      <c r="C8" s="112"/>
      <c r="D8" s="113">
        <f>SUM(D5:D7)</f>
        <v>5084.9600000000009</v>
      </c>
      <c r="E8" s="113">
        <f>SUM(E5:E7)</f>
        <v>0</v>
      </c>
    </row>
    <row r="9" spans="1:7" ht="12.75" customHeight="1" x14ac:dyDescent="0.2">
      <c r="A9" s="50"/>
      <c r="B9" s="108"/>
      <c r="C9" s="109"/>
      <c r="D9" s="107"/>
      <c r="E9" s="107"/>
    </row>
    <row r="10" spans="1:7" ht="18" x14ac:dyDescent="0.25">
      <c r="A10" s="120" t="s">
        <v>34</v>
      </c>
      <c r="B10" s="121"/>
      <c r="C10" s="122"/>
      <c r="D10" s="123">
        <f>SUMIF(Receipts!$J$10:$J$35,"Y",Receipts!D10:D35)</f>
        <v>0</v>
      </c>
      <c r="E10" s="123">
        <f>SUMIF(Receipts!$J$10:$J$35,"Y",Receipts!E10:E35)</f>
        <v>0</v>
      </c>
    </row>
    <row r="11" spans="1:7" ht="12.75" x14ac:dyDescent="0.2">
      <c r="A11" s="117" t="str">
        <f>IF(ISERROR(VLOOKUP("y1",Receipts!$A$10:$I$36,3,FALSE)),"",VLOOKUP("y1",Receipts!$A$10:$I$36,3,FALSE))</f>
        <v/>
      </c>
      <c r="B11" s="117" t="str">
        <f>IF(ISERROR(VLOOKUP("y1",Receipts!$A$10:$I$36,3,FALSE)),"",VLOOKUP("y1",Receipts!$A$10:$I$36,2,FALSE))</f>
        <v/>
      </c>
      <c r="C11" s="117"/>
      <c r="D11" s="119" t="str">
        <f>IF(ISERROR(VLOOKUP("y1",Receipts!$A$10:$I$36,3,FALSE)),"",VLOOKUP("y1",Receipts!$A$10:$I$36,4,FALSE))</f>
        <v/>
      </c>
      <c r="E11" s="119" t="str">
        <f>IF(ISERROR(VLOOKUP("y1",Receipts!$A$10:$I$36,3,FALSE)),"",VLOOKUP("y1",Receipts!$A$10:$I$36,5,FALSE))</f>
        <v/>
      </c>
      <c r="G11" t="s">
        <v>52</v>
      </c>
    </row>
    <row r="12" spans="1:7" ht="12.75" x14ac:dyDescent="0.2">
      <c r="A12" s="117" t="str">
        <f>IF(ISERROR(VLOOKUP("y2",Receipts!$A$10:$I$36,3,FALSE)),"",VLOOKUP("y2",Receipts!$A$10:$I$36,3,FALSE))</f>
        <v/>
      </c>
      <c r="B12" s="117" t="str">
        <f>IF(ISERROR(VLOOKUP("y2",Receipts!$A$10:$I$36,3,FALSE)),"",VLOOKUP("y2",Receipts!$A$10:$I$36,2,FALSE))</f>
        <v/>
      </c>
      <c r="C12" s="117"/>
      <c r="D12" s="119" t="str">
        <f>IF(ISERROR(VLOOKUP("y2",Receipts!$A$10:$I$36,3,FALSE)),"",VLOOKUP("y2",Receipts!$A$10:$I$36,4,FALSE))</f>
        <v/>
      </c>
      <c r="E12" s="119" t="str">
        <f>IF(ISERROR(VLOOKUP("y2",Receipts!$A$10:$I$36,3,FALSE)),"",VLOOKUP("y2",Receipts!$A$10:$I$36,5,FALSE))</f>
        <v/>
      </c>
    </row>
    <row r="13" spans="1:7" ht="12.75" x14ac:dyDescent="0.2">
      <c r="A13" s="117" t="str">
        <f>IF(ISERROR(VLOOKUP("y3",Receipts!$A$10:$I$36,3,FALSE)),"",VLOOKUP("y3",Receipts!$A$10:$I$36,3,FALSE))</f>
        <v/>
      </c>
      <c r="B13" s="117" t="str">
        <f>IF(ISERROR(VLOOKUP("y3",Receipts!$A$10:$I$36,3,FALSE)),"",VLOOKUP("y3",Receipts!$A$10:$I$36,2,FALSE))</f>
        <v/>
      </c>
      <c r="C13" s="117"/>
      <c r="D13" s="119" t="str">
        <f>IF(ISERROR(VLOOKUP("y3",Receipts!$A$10:$I$36,3,FALSE)),"",VLOOKUP("y3",Receipts!$A$10:$I$36,3,FALSE))</f>
        <v/>
      </c>
      <c r="E13" s="119" t="str">
        <f>IF(ISERROR(VLOOKUP("y3",Receipts!$A$10:$I$36,3,FALSE)),"",VLOOKUP("y3",Receipts!$A$10:$I$36,3,FALSE))</f>
        <v/>
      </c>
    </row>
    <row r="14" spans="1:7" ht="12.75" x14ac:dyDescent="0.2">
      <c r="A14" s="117" t="str">
        <f>IF(ISERROR(VLOOKUP("y4",Receipts!$A$10:$I$36,3,FALSE)),"",VLOOKUP("y4",Receipts!$A$10:$I$36,3,FALSE))</f>
        <v/>
      </c>
      <c r="B14" s="117" t="str">
        <f>IF(ISERROR(VLOOKUP("y4",Receipts!$A$10:$I$36,3,FALSE)),"",VLOOKUP("y4",Receipts!$A$10:$I$36,3,FALSE))</f>
        <v/>
      </c>
      <c r="C14" s="117"/>
      <c r="D14" s="119" t="str">
        <f>IF(ISERROR(VLOOKUP("y4",Receipts!$A$10:$I$36,3,FALSE)),"",VLOOKUP("y4",Receipts!$A$10:$I$36,3,FALSE))</f>
        <v/>
      </c>
      <c r="E14" s="119" t="str">
        <f>IF(ISERROR(VLOOKUP("y4",Receipts!$A$10:$I$36,3,FALSE)),"",VLOOKUP("y4",Receipts!$A$10:$I$36,3,FALSE))</f>
        <v/>
      </c>
    </row>
    <row r="15" spans="1:7" ht="12.75" x14ac:dyDescent="0.2">
      <c r="A15" s="117" t="str">
        <f>IF(ISERROR(VLOOKUP("y5",Receipts!$A$10:$I$36,3,FALSE)),"",VLOOKUP("y5",Receipts!$A$10:$I$36,3,FALSE))</f>
        <v/>
      </c>
      <c r="B15" s="117" t="str">
        <f>IF(ISERROR(VLOOKUP("y5",Receipts!$A$10:$I$36,3,FALSE)),"",VLOOKUP("y5",Receipts!$A$10:$I$36,3,FALSE))</f>
        <v/>
      </c>
      <c r="C15" s="117"/>
      <c r="D15" s="119" t="str">
        <f>IF(ISERROR(VLOOKUP("y5",Receipts!$A$10:$I$36,3,FALSE)),"",VLOOKUP("y5",Receipts!$A$10:$I$36,3,FALSE))</f>
        <v/>
      </c>
      <c r="E15" s="119" t="str">
        <f>IF(ISERROR(VLOOKUP("y5",Receipts!$A$10:$I$36,3,FALSE)),"",VLOOKUP("y5",Receipts!$A$10:$I$36,3,FALSE))</f>
        <v/>
      </c>
    </row>
    <row r="16" spans="1:7" ht="12.75" x14ac:dyDescent="0.2">
      <c r="A16" s="51"/>
      <c r="B16" s="51"/>
      <c r="C16" s="49"/>
      <c r="D16" s="119"/>
      <c r="E16" s="119"/>
    </row>
    <row r="17" spans="1:7" ht="18" x14ac:dyDescent="0.25">
      <c r="A17" s="124" t="s">
        <v>35</v>
      </c>
      <c r="B17" s="125"/>
      <c r="C17" s="126"/>
      <c r="D17" s="127">
        <f>SUMIF(Payments!$R$8:$R$71,"Y",Payments!F8:F71)</f>
        <v>0</v>
      </c>
      <c r="E17" s="127">
        <f>SUMIF(Payments!$R$16:$R$71,"Y",Payments!G16:G71)</f>
        <v>0</v>
      </c>
    </row>
    <row r="18" spans="1:7" ht="12.75" x14ac:dyDescent="0.2">
      <c r="A18" s="117" t="str">
        <f>IF(ISERROR(VLOOKUP("y1",Payments!$A$16:$I$299,3,FALSE)),"",VLOOKUP("y1",Payments!$A$16:$I$299,3,FALSE))</f>
        <v/>
      </c>
      <c r="B18" s="117" t="str">
        <f>IF(ISERROR(VLOOKUP("y1",Payments!$A$16:$I$299,3,FALSE)),"",VLOOKUP("y1",Payments!$A$16:$I$299,2,FALSE))</f>
        <v/>
      </c>
      <c r="C18" s="118"/>
      <c r="D18" s="119" t="str">
        <f>IF(ISERROR(VLOOKUP("y1",Payments!$A$16:$I$299,3,FALSE)),"",VLOOKUP("y1",Payments!$A$16:$I$299,6,FALSE))</f>
        <v/>
      </c>
      <c r="E18" s="119" t="str">
        <f>IF(ISERROR(VLOOKUP("y1",Payments!$A$16:$I$299,3,FALSE)),"",VLOOKUP("y1",Payments!$A$16:$I$299,7,FALSE))</f>
        <v/>
      </c>
    </row>
    <row r="19" spans="1:7" ht="12.75" x14ac:dyDescent="0.2">
      <c r="A19" s="117" t="str">
        <f>IF(ISERROR(VLOOKUP("y2",Payments!$A$16:$I$299,3,FALSE)),"",VLOOKUP("y2",Payments!$A$16:$I$299,3,FALSE))</f>
        <v/>
      </c>
      <c r="B19" s="117" t="str">
        <f>IF(ISERROR(VLOOKUP("y2",Payments!$A$16:$I$299,3,FALSE)),"",VLOOKUP("y2",Payments!$A$16:$I$299,2,FALSE))</f>
        <v/>
      </c>
      <c r="C19" s="118"/>
      <c r="D19" s="119" t="str">
        <f>IF(ISERROR(VLOOKUP("y2",Payments!$A$16:$I$299,3,FALSE)),"",VLOOKUP("y2",Payments!$A$16:$I$299,6,FALSE))</f>
        <v/>
      </c>
      <c r="E19" s="119" t="str">
        <f>IF(ISERROR(VLOOKUP("y2",Payments!$A$16:$I$299,3,FALSE)),"",VLOOKUP("y2",Payments!$A$16:$I$299,7,FALSE))</f>
        <v/>
      </c>
    </row>
    <row r="20" spans="1:7" ht="12.75" x14ac:dyDescent="0.2">
      <c r="A20" s="117" t="str">
        <f>IF(ISERROR(VLOOKUP("y3",Payments!$A$16:$I$299,3,FALSE)),"",VLOOKUP("y3",Payments!$A$16:$I$299,3,FALSE))</f>
        <v/>
      </c>
      <c r="B20" s="117" t="str">
        <f>IF(ISERROR(VLOOKUP("y3",Payments!$A$16:$I$299,3,FALSE)),"",VLOOKUP("y3",Payments!$A$16:$I$299,2,FALSE))</f>
        <v/>
      </c>
      <c r="C20" s="118"/>
      <c r="D20" s="119" t="str">
        <f>IF(ISERROR(VLOOKUP("y3",Payments!$A$16:$I$299,3,FALSE)),"",VLOOKUP("y3",Payments!$A$16:$I$299,6,FALSE))</f>
        <v/>
      </c>
      <c r="E20" s="119" t="str">
        <f>IF(ISERROR(VLOOKUP("y3",Payments!$A$16:$I$299,3,FALSE)),"",VLOOKUP("y3",Payments!$A$16:$I$299,7,FALSE))</f>
        <v/>
      </c>
    </row>
    <row r="21" spans="1:7" ht="12.75" x14ac:dyDescent="0.2">
      <c r="A21" s="117" t="str">
        <f>IF(ISERROR(VLOOKUP("y4",Payments!$A$16:$I$299,3,FALSE)),"",VLOOKUP("y4",Payments!$A$16:$I$299,3,FALSE))</f>
        <v/>
      </c>
      <c r="B21" s="117" t="str">
        <f>IF(ISERROR(VLOOKUP("y4",Payments!$A$16:$I$299,3,FALSE)),"",VLOOKUP("y4",Payments!$A$16:$I$299,2,FALSE))</f>
        <v/>
      </c>
      <c r="C21" s="118"/>
      <c r="D21" s="119" t="str">
        <f>IF(ISERROR(VLOOKUP("y4",Payments!$A$16:$I$299,3,FALSE)),"",VLOOKUP("y4",Payments!$A$16:$I$299,6,FALSE))</f>
        <v/>
      </c>
      <c r="E21" s="119" t="str">
        <f>IF(ISERROR(VLOOKUP("y4",Payments!$A$16:$I$299,3,FALSE)),"",VLOOKUP("y4",Payments!$A$16:$I$299,7,FALSE))</f>
        <v/>
      </c>
    </row>
    <row r="22" spans="1:7" ht="12.75" x14ac:dyDescent="0.2">
      <c r="A22" s="117" t="str">
        <f>IF(ISERROR(VLOOKUP("y5",Payments!$A$16:$I$299,3,FALSE)),"",VLOOKUP("y5",Payments!$A$16:$I$299,3,FALSE))</f>
        <v/>
      </c>
      <c r="B22" s="117" t="str">
        <f>IF(ISERROR(VLOOKUP("y5",Payments!$A$16:$I$299,3,FALSE)),"",VLOOKUP("y5",Payments!$A$16:$I$299,2,FALSE))</f>
        <v/>
      </c>
      <c r="C22" s="118"/>
      <c r="D22" s="119" t="str">
        <f>IF(ISERROR(VLOOKUP("y5",Payments!$A$16:$I$299,3,FALSE)),"",VLOOKUP("y5",Payments!$A$16:$I$299,6,FALSE))</f>
        <v/>
      </c>
      <c r="E22" s="119" t="str">
        <f>IF(ISERROR(VLOOKUP("y5",Payments!$A$16:$I$299,3,FALSE)),"",VLOOKUP("y5",Payments!$A$16:$I$299,7,FALSE))</f>
        <v/>
      </c>
    </row>
    <row r="23" spans="1:7" ht="12.75" x14ac:dyDescent="0.2">
      <c r="A23" s="117" t="str">
        <f>IF(ISERROR(VLOOKUP("y6",Payments!$A$16:$I$299,3,FALSE)),"",VLOOKUP("y6",Payments!$A$16:$I$299,3,FALSE))</f>
        <v/>
      </c>
      <c r="B23" s="117" t="str">
        <f>IF(ISERROR(VLOOKUP("y6",Payments!$A$16:$I$299,3,FALSE)),"",VLOOKUP("y6",Payments!$A$16:$I$299,2,FALSE))</f>
        <v/>
      </c>
      <c r="C23" s="118"/>
      <c r="D23" s="119" t="str">
        <f>IF(ISERROR(VLOOKUP("y6",Payments!$A$16:$I$299,3,FALSE)),"",VLOOKUP("y6",Payments!$A$16:$I$299,6,FALSE))</f>
        <v/>
      </c>
      <c r="E23" s="119" t="str">
        <f>IF(ISERROR(VLOOKUP("y6",Payments!$A$16:$I$299,3,FALSE)),"",VLOOKUP("y6",Payments!$A$16:$I$299,7,FALSE))</f>
        <v/>
      </c>
    </row>
    <row r="24" spans="1:7" ht="12.75" x14ac:dyDescent="0.2">
      <c r="A24" s="117" t="str">
        <f>IF(ISERROR(VLOOKUP("y7",Payments!$A$16:$I$299,3,FALSE)),"",VLOOKUP("y7",Payments!$A$16:$I$299,3,FALSE))</f>
        <v/>
      </c>
      <c r="B24" s="117" t="str">
        <f>IF(ISERROR(VLOOKUP("y7",Payments!$A$16:$I$299,3,FALSE)),"",VLOOKUP("y7",Payments!$A$16:$I$299,2,FALSE))</f>
        <v/>
      </c>
      <c r="C24" s="118"/>
      <c r="D24" s="119" t="str">
        <f>IF(ISERROR(VLOOKUP("y7",Payments!$A$16:$I$299,3,FALSE)),"",VLOOKUP("y7",Payments!$A$16:$I$299,6,FALSE))</f>
        <v/>
      </c>
      <c r="E24" s="119" t="str">
        <f>IF(ISERROR(VLOOKUP("y7",Payments!$A$16:$I$299,3,FALSE)),"",VLOOKUP("y7",Payments!$A$16:$I$299,7,FALSE))</f>
        <v/>
      </c>
    </row>
    <row r="25" spans="1:7" ht="12.75" x14ac:dyDescent="0.2">
      <c r="A25" s="117" t="str">
        <f>IF(ISERROR(VLOOKUP("y8",Payments!$A$16:$I$299,3,FALSE)),"",VLOOKUP("y8",Payments!$A$16:$I$299,3,FALSE))</f>
        <v/>
      </c>
      <c r="B25" s="117" t="str">
        <f>IF(ISERROR(VLOOKUP("y8",Payments!$A$16:$I$299,3,FALSE)),"",VLOOKUP("y8",Payments!$A$16:$I$299,2,FALSE))</f>
        <v/>
      </c>
      <c r="C25" s="118"/>
      <c r="D25" s="119" t="str">
        <f>IF(ISERROR(VLOOKUP("y8",Payments!$A$16:$I$299,3,FALSE)),"",VLOOKUP("y8",Payments!$A$16:$I$299,6,FALSE))</f>
        <v/>
      </c>
      <c r="E25" s="119" t="str">
        <f>IF(ISERROR(VLOOKUP("y8",Payments!$A$16:$I$299,3,FALSE)),"",VLOOKUP("y8",Payments!$A$16:$I$299,7,FALSE))</f>
        <v/>
      </c>
    </row>
    <row r="26" spans="1:7" ht="12.75" customHeight="1" x14ac:dyDescent="0.2">
      <c r="A26" s="117" t="str">
        <f>IF(ISERROR(VLOOKUP("y9",Payments!$A$16:$I$299,3,FALSE)),"",VLOOKUP("y9",Payments!$A$16:$I$299,3,FALSE))</f>
        <v/>
      </c>
      <c r="B26" s="117" t="str">
        <f>IF(ISERROR(VLOOKUP("y9",Payments!$A$16:$I$299,3,FALSE)),"",VLOOKUP("y9",Payments!$A$16:$I$299,2,FALSE))</f>
        <v/>
      </c>
      <c r="C26" s="118"/>
      <c r="D26" s="119" t="str">
        <f>IF(ISERROR(VLOOKUP("y9",Payments!$A$16:$I$299,3,FALSE)),"",VLOOKUP("y9",Payments!$A$16:$I$299,6,FALSE))</f>
        <v/>
      </c>
      <c r="E26" s="119" t="str">
        <f>IF(ISERROR(VLOOKUP("y9",Payments!$A$16:$I$299,3,FALSE)),"",VLOOKUP("y9",Payments!$A$16:$I$299,7,FALSE))</f>
        <v/>
      </c>
    </row>
    <row r="27" spans="1:7" ht="12.75" x14ac:dyDescent="0.2">
      <c r="A27" s="117" t="str">
        <f>IF(ISERROR(VLOOKUP("y10",Payments!$A$16:$I$299,3,FALSE)),"",VLOOKUP("y10",Payments!$A$16:$I$299,3,FALSE))</f>
        <v/>
      </c>
      <c r="B27" s="117" t="str">
        <f>IF(ISERROR(VLOOKUP("y10",Payments!$A$16:$I$299,3,FALSE)),"",VLOOKUP("y10",Payments!$A$16:$I$299,2,FALSE))</f>
        <v/>
      </c>
      <c r="C27" s="118"/>
      <c r="D27" s="119" t="str">
        <f>IF(ISERROR(VLOOKUP("y10",Payments!$A$16:$I$299,3,FALSE)),"",VLOOKUP("y10",Payments!$A$16:$I$299,6,FALSE))</f>
        <v/>
      </c>
      <c r="E27" s="119" t="str">
        <f>IF(ISERROR(VLOOKUP("y10",Payments!$A$16:$I$299,3,FALSE)),"",VLOOKUP("y10",Payments!$A$16:$I$299,7,FALSE))</f>
        <v/>
      </c>
    </row>
    <row r="28" spans="1:7" ht="12.75" x14ac:dyDescent="0.2">
      <c r="A28" s="117"/>
      <c r="B28" s="117"/>
      <c r="C28" s="118"/>
      <c r="D28" s="119"/>
      <c r="E28" s="119"/>
    </row>
    <row r="29" spans="1:7" ht="18" x14ac:dyDescent="0.25">
      <c r="A29" s="128" t="s">
        <v>36</v>
      </c>
      <c r="B29" s="125"/>
      <c r="C29" s="126"/>
      <c r="D29" s="129">
        <f>D8-D10+D17</f>
        <v>5084.9600000000009</v>
      </c>
      <c r="E29" s="129">
        <f>E8-E10+E17</f>
        <v>0</v>
      </c>
    </row>
    <row r="30" spans="1:7" ht="12.75" x14ac:dyDescent="0.2">
      <c r="A30" s="50"/>
      <c r="B30" s="51"/>
      <c r="C30" s="49"/>
      <c r="D30" s="49"/>
      <c r="E30" s="50"/>
    </row>
    <row r="31" spans="1:7" ht="12.75" x14ac:dyDescent="0.2">
      <c r="A31" s="48" t="s">
        <v>37</v>
      </c>
      <c r="B31" s="157"/>
      <c r="C31" s="157"/>
      <c r="D31" s="157">
        <v>5084.96</v>
      </c>
      <c r="E31" s="48"/>
      <c r="G31" t="s">
        <v>57</v>
      </c>
    </row>
    <row r="32" spans="1:7" ht="12.75" x14ac:dyDescent="0.2">
      <c r="A32" s="50"/>
      <c r="B32" s="49"/>
      <c r="C32" s="49"/>
      <c r="D32" s="49" t="s">
        <v>8</v>
      </c>
      <c r="E32" s="50"/>
    </row>
    <row r="33" spans="1:5" ht="12.75" x14ac:dyDescent="0.2">
      <c r="A33" s="50" t="s">
        <v>38</v>
      </c>
      <c r="B33" s="49"/>
      <c r="C33" s="49"/>
      <c r="D33" s="49">
        <f>D29-D31</f>
        <v>0</v>
      </c>
      <c r="E33" s="49">
        <f>E29-E31</f>
        <v>0</v>
      </c>
    </row>
    <row r="34" spans="1:5" ht="12.95" customHeight="1" x14ac:dyDescent="0.2">
      <c r="A34" s="50"/>
      <c r="B34" s="49"/>
      <c r="C34" s="49"/>
      <c r="D34" s="49"/>
      <c r="E34" s="50"/>
    </row>
    <row r="35" spans="1:5" ht="12.95" customHeight="1" x14ac:dyDescent="0.2">
      <c r="A35" s="50" t="s">
        <v>39</v>
      </c>
      <c r="B35" s="52"/>
      <c r="C35" s="49"/>
      <c r="D35" s="50"/>
      <c r="E35" s="50"/>
    </row>
    <row r="36" spans="1:5" ht="12.95" customHeight="1" x14ac:dyDescent="0.2">
      <c r="A36" s="50"/>
      <c r="B36" s="49"/>
      <c r="C36" s="49"/>
      <c r="D36" s="50"/>
      <c r="E36" s="50"/>
    </row>
  </sheetData>
  <sheetProtection selectLockedCells="1" selectUnlockedCells="1"/>
  <mergeCells count="1">
    <mergeCell ref="A3:E3"/>
  </mergeCells>
  <pageMargins left="0.7" right="0.7" top="0.75" bottom="0.75" header="0.3" footer="0.3"/>
  <pageSetup paperSize="9" scale="96" firstPageNumber="0" orientation="landscape" horizontalDpi="360" verticalDpi="360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Receipts</vt:lpstr>
      <vt:lpstr>Payments</vt:lpstr>
      <vt:lpstr>Summary</vt:lpstr>
      <vt:lpstr>Rec</vt:lpstr>
      <vt:lpstr>Payments!__xlnm._FilterDatabase</vt:lpstr>
      <vt:lpstr>__xlnm._FilterDatabase_1</vt:lpstr>
      <vt:lpstr>Payments!__xlnm.Print_Area</vt:lpstr>
      <vt:lpstr>Rec!__xlnm.Print_Area</vt:lpstr>
      <vt:lpstr>Receipts!__xlnm.Print_Area</vt:lpstr>
      <vt:lpstr>Summary!__xlnm.Print_Area</vt:lpstr>
      <vt:lpstr>Payments!Print_Area</vt:lpstr>
      <vt:lpstr>Rec!Print_Area</vt:lpstr>
      <vt:lpstr>Receipts!Print_Area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Alton</dc:creator>
  <cp:lastModifiedBy>chris</cp:lastModifiedBy>
  <cp:lastPrinted>2023-06-03T21:02:08Z</cp:lastPrinted>
  <dcterms:created xsi:type="dcterms:W3CDTF">2017-08-20T20:46:08Z</dcterms:created>
  <dcterms:modified xsi:type="dcterms:W3CDTF">2023-06-03T21:03:30Z</dcterms:modified>
</cp:coreProperties>
</file>