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hris\Documents\Finances folder\Accounts xls\"/>
    </mc:Choice>
  </mc:AlternateContent>
  <xr:revisionPtr revIDLastSave="0" documentId="13_ncr:1_{0AD23412-BD70-4457-8047-DF3FE06F6BED}" xr6:coauthVersionLast="47" xr6:coauthVersionMax="47" xr10:uidLastSave="{00000000-0000-0000-0000-000000000000}"/>
  <bookViews>
    <workbookView xWindow="-120" yWindow="-120" windowWidth="20730" windowHeight="11160" tabRatio="585" activeTab="1" xr2:uid="{00000000-000D-0000-FFFF-FFFF00000000}"/>
  </bookViews>
  <sheets>
    <sheet name="Receipts" sheetId="1" r:id="rId1"/>
    <sheet name="Payments" sheetId="2" r:id="rId2"/>
    <sheet name="Summary" sheetId="3" r:id="rId3"/>
    <sheet name="Rec" sheetId="4" r:id="rId4"/>
  </sheets>
  <definedNames>
    <definedName name="__xlnm._FilterDatabase" localSheetId="1">Payments!$B$7:$Q$94</definedName>
    <definedName name="__xlnm._FilterDatabase_1">Payments!$B$7:$Q$94</definedName>
    <definedName name="__xlnm.Print_Area" localSheetId="1">Payments!$B$1:$V$70</definedName>
    <definedName name="__xlnm.Print_Area" localSheetId="3">Rec!$A$1:$E$36</definedName>
    <definedName name="__xlnm.Print_Area" localSheetId="0">Receipts!$B$1:$M$34</definedName>
    <definedName name="__xlnm.Print_Area" localSheetId="2">Summary!$A$1:$E$12</definedName>
    <definedName name="_xlnm._FilterDatabase" localSheetId="1" hidden="1">Payments!$B$7:$Q$94</definedName>
    <definedName name="_xlnm.Print_Area" localSheetId="1">Payments!$B$1:$V$70</definedName>
    <definedName name="_xlnm.Print_Area" localSheetId="3">Rec!$A$1:$E$36</definedName>
    <definedName name="_xlnm.Print_Area" localSheetId="0">Receipts!$B$1:$M$34</definedName>
    <definedName name="_xlnm.Print_Area" localSheetId="2">Summary!$A$1:$E$12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7" i="2" l="1"/>
  <c r="D6" i="4"/>
  <c r="H37" i="1"/>
  <c r="G37" i="1"/>
  <c r="D37" i="1"/>
  <c r="D7" i="4" l="1"/>
  <c r="O70" i="2" l="1"/>
  <c r="N70" i="2"/>
  <c r="M70" i="2"/>
  <c r="L70" i="2"/>
  <c r="H70" i="2"/>
  <c r="F70" i="2"/>
  <c r="B9" i="3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Q67" i="2"/>
  <c r="Q62" i="2"/>
  <c r="Q63" i="2"/>
  <c r="Q64" i="2"/>
  <c r="Q65" i="2"/>
  <c r="Q66" i="2"/>
  <c r="D17" i="4" l="1"/>
  <c r="G70" i="2"/>
  <c r="D5" i="4"/>
  <c r="A18" i="1" l="1"/>
  <c r="A19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20" i="1"/>
  <c r="A44" i="2"/>
  <c r="A16" i="1"/>
  <c r="A36" i="1"/>
  <c r="A17" i="1"/>
  <c r="M10" i="1"/>
  <c r="A10" i="1" s="1"/>
  <c r="E7" i="4"/>
  <c r="E6" i="4"/>
  <c r="D8" i="4"/>
  <c r="E5" i="4"/>
  <c r="E37" i="1"/>
  <c r="F37" i="1"/>
  <c r="B8" i="3"/>
  <c r="B11" i="3" s="1"/>
  <c r="A69" i="2" l="1"/>
  <c r="A43" i="2"/>
  <c r="E17" i="4"/>
  <c r="E10" i="4"/>
  <c r="S23" i="2"/>
  <c r="A23" i="2" s="1"/>
  <c r="S21" i="2"/>
  <c r="A21" i="2" s="1"/>
  <c r="S19" i="2"/>
  <c r="A19" i="2" s="1"/>
  <c r="S17" i="2"/>
  <c r="A17" i="2" s="1"/>
  <c r="S15" i="2"/>
  <c r="A15" i="2" s="1"/>
  <c r="S68" i="2"/>
  <c r="A68" i="2" s="1"/>
  <c r="S66" i="2"/>
  <c r="A66" i="2" s="1"/>
  <c r="S64" i="2"/>
  <c r="A64" i="2" s="1"/>
  <c r="S62" i="2"/>
  <c r="A62" i="2" s="1"/>
  <c r="S60" i="2"/>
  <c r="A60" i="2" s="1"/>
  <c r="S58" i="2"/>
  <c r="A58" i="2" s="1"/>
  <c r="S56" i="2"/>
  <c r="A56" i="2" s="1"/>
  <c r="S54" i="2"/>
  <c r="A54" i="2" s="1"/>
  <c r="S52" i="2"/>
  <c r="A52" i="2" s="1"/>
  <c r="S50" i="2"/>
  <c r="A50" i="2" s="1"/>
  <c r="S48" i="2"/>
  <c r="A48" i="2" s="1"/>
  <c r="S46" i="2"/>
  <c r="A46" i="2" s="1"/>
  <c r="S44" i="2"/>
  <c r="S42" i="2"/>
  <c r="A42" i="2" s="1"/>
  <c r="S40" i="2"/>
  <c r="A40" i="2" s="1"/>
  <c r="S38" i="2"/>
  <c r="A38" i="2" s="1"/>
  <c r="S34" i="2"/>
  <c r="A34" i="2" s="1"/>
  <c r="S32" i="2"/>
  <c r="A32" i="2" s="1"/>
  <c r="S30" i="2"/>
  <c r="A30" i="2" s="1"/>
  <c r="S28" i="2"/>
  <c r="A28" i="2" s="1"/>
  <c r="S26" i="2"/>
  <c r="A26" i="2" s="1"/>
  <c r="S24" i="2"/>
  <c r="A24" i="2" s="1"/>
  <c r="M30" i="1"/>
  <c r="M26" i="1"/>
  <c r="M22" i="1"/>
  <c r="M19" i="1"/>
  <c r="S14" i="2"/>
  <c r="A14" i="2" s="1"/>
  <c r="S22" i="2"/>
  <c r="A22" i="2" s="1"/>
  <c r="S20" i="2"/>
  <c r="A20" i="2" s="1"/>
  <c r="S18" i="2"/>
  <c r="A18" i="2" s="1"/>
  <c r="S16" i="2"/>
  <c r="A16" i="2" s="1"/>
  <c r="S69" i="2"/>
  <c r="S67" i="2"/>
  <c r="A67" i="2" s="1"/>
  <c r="S65" i="2"/>
  <c r="A65" i="2" s="1"/>
  <c r="S63" i="2"/>
  <c r="A63" i="2" s="1"/>
  <c r="S61" i="2"/>
  <c r="A61" i="2" s="1"/>
  <c r="S59" i="2"/>
  <c r="A59" i="2" s="1"/>
  <c r="S57" i="2"/>
  <c r="S55" i="2"/>
  <c r="A55" i="2" s="1"/>
  <c r="S53" i="2"/>
  <c r="A53" i="2" s="1"/>
  <c r="S51" i="2"/>
  <c r="A51" i="2" s="1"/>
  <c r="S49" i="2"/>
  <c r="A49" i="2" s="1"/>
  <c r="S47" i="2"/>
  <c r="A47" i="2" s="1"/>
  <c r="S45" i="2"/>
  <c r="A45" i="2" s="1"/>
  <c r="S43" i="2"/>
  <c r="S41" i="2"/>
  <c r="A41" i="2" s="1"/>
  <c r="S39" i="2"/>
  <c r="A39" i="2" s="1"/>
  <c r="S37" i="2"/>
  <c r="A37" i="2" s="1"/>
  <c r="S33" i="2"/>
  <c r="A33" i="2" s="1"/>
  <c r="S31" i="2"/>
  <c r="A31" i="2" s="1"/>
  <c r="S29" i="2"/>
  <c r="A29" i="2" s="1"/>
  <c r="S27" i="2"/>
  <c r="A27" i="2" s="1"/>
  <c r="S25" i="2"/>
  <c r="A25" i="2" s="1"/>
  <c r="M29" i="1"/>
  <c r="M25" i="1"/>
  <c r="M21" i="1"/>
  <c r="M28" i="1"/>
  <c r="M24" i="1"/>
  <c r="M20" i="1"/>
  <c r="M31" i="1"/>
  <c r="M27" i="1"/>
  <c r="M23" i="1"/>
  <c r="D10" i="4"/>
  <c r="M33" i="1"/>
  <c r="M17" i="1"/>
  <c r="M13" i="1"/>
  <c r="A13" i="1" s="1"/>
  <c r="M36" i="1"/>
  <c r="M32" i="1"/>
  <c r="M16" i="1"/>
  <c r="M12" i="1"/>
  <c r="A12" i="1" s="1"/>
  <c r="M35" i="1"/>
  <c r="M15" i="1"/>
  <c r="A15" i="1" s="1"/>
  <c r="M34" i="1"/>
  <c r="M18" i="1"/>
  <c r="M14" i="1"/>
  <c r="A14" i="1" s="1"/>
  <c r="M11" i="1"/>
  <c r="A11" i="1" s="1"/>
  <c r="E8" i="4"/>
  <c r="D29" i="4" l="1"/>
  <c r="D33" i="4" s="1"/>
  <c r="A18" i="4"/>
  <c r="D27" i="4"/>
  <c r="A27" i="4"/>
  <c r="D26" i="4"/>
  <c r="A26" i="4"/>
  <c r="D25" i="4"/>
  <c r="A25" i="4"/>
  <c r="D24" i="4"/>
  <c r="A24" i="4"/>
  <c r="D23" i="4"/>
  <c r="A23" i="4"/>
  <c r="D22" i="4"/>
  <c r="A22" i="4"/>
  <c r="D21" i="4"/>
  <c r="A21" i="4"/>
  <c r="D20" i="4"/>
  <c r="A20" i="4"/>
  <c r="D19" i="4"/>
  <c r="A19" i="4"/>
  <c r="D18" i="4"/>
  <c r="E27" i="4"/>
  <c r="B27" i="4"/>
  <c r="E26" i="4"/>
  <c r="B26" i="4"/>
  <c r="E25" i="4"/>
  <c r="B25" i="4"/>
  <c r="E24" i="4"/>
  <c r="B24" i="4"/>
  <c r="E23" i="4"/>
  <c r="B23" i="4"/>
  <c r="E22" i="4"/>
  <c r="B22" i="4"/>
  <c r="E21" i="4"/>
  <c r="B21" i="4"/>
  <c r="E20" i="4"/>
  <c r="B20" i="4"/>
  <c r="E19" i="4"/>
  <c r="B19" i="4"/>
  <c r="E18" i="4"/>
  <c r="B18" i="4"/>
  <c r="E29" i="4"/>
  <c r="E33" i="4" s="1"/>
  <c r="B13" i="4"/>
  <c r="D11" i="4"/>
  <c r="A11" i="4"/>
  <c r="B11" i="4"/>
  <c r="E11" i="4"/>
  <c r="E12" i="4"/>
  <c r="E14" i="4"/>
  <c r="D14" i="4"/>
  <c r="A14" i="4"/>
  <c r="D12" i="4"/>
  <c r="A13" i="4"/>
  <c r="E13" i="4"/>
  <c r="D13" i="4"/>
  <c r="B15" i="4"/>
  <c r="A12" i="4"/>
  <c r="B12" i="4"/>
  <c r="B14" i="4"/>
  <c r="E15" i="4"/>
  <c r="D15" i="4"/>
  <c r="A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MartinHolland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code is used to identify the individual lines which are outstanding at the reconciliation date, using the outstanding marker in column J and the count number in column 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MartinHolland</author>
    <author>chris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code is used to identify the individual lines which are outstanding at the reconciliation date, using the outstanding marker in column Q and the count number in column S</t>
        </r>
      </text>
    </comment>
    <comment ref="Q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MartinHolland:</t>
        </r>
        <r>
          <rPr>
            <sz val="9"/>
            <color indexed="81"/>
            <rFont val="Tahoma"/>
            <family val="2"/>
          </rPr>
          <t xml:space="preserve">
this marker used the transaction (cheque) date and the cleared date to assess whether the cheque wass outstanding at the date the reconciliation is done</t>
        </r>
      </text>
    </comment>
    <comment ref="C20" authorId="1" shapeId="0" xr:uid="{33FA3551-2BC7-42B6-AF7F-F9A50AA874F1}">
      <text>
        <r>
          <rPr>
            <b/>
            <sz val="9"/>
            <color indexed="81"/>
            <rFont val="Tahoma"/>
            <family val="2"/>
          </rPr>
          <t xml:space="preserve">HH: </t>
        </r>
        <r>
          <rPr>
            <sz val="9"/>
            <color indexed="81"/>
            <rFont val="Tahoma"/>
            <family val="2"/>
          </rPr>
          <t xml:space="preserve">3rd Dec - to print 
</t>
        </r>
      </text>
    </comment>
    <comment ref="C23" authorId="1" shapeId="0" xr:uid="{20C341B1-E288-43C4-B6CB-A6E4B2D63D5B}">
      <text>
        <r>
          <rPr>
            <b/>
            <sz val="9"/>
            <color indexed="81"/>
            <rFont val="Tahoma"/>
            <family val="2"/>
          </rPr>
          <t>HH:</t>
        </r>
        <r>
          <rPr>
            <sz val="9"/>
            <color indexed="81"/>
            <rFont val="Tahoma"/>
            <family val="2"/>
          </rPr>
          <t xml:space="preserve">3rd Dec - to print 
</t>
        </r>
      </text>
    </comment>
    <comment ref="H40" authorId="1" shapeId="0" xr:uid="{E4F785AA-4D1D-4AA0-AA2D-B40FF97B6E67}">
      <text>
        <r>
          <rPr>
            <sz val="9"/>
            <color indexed="81"/>
            <rFont val="Tahoma"/>
            <family val="2"/>
          </rPr>
          <t xml:space="preserve">HH: note, original battery returned. 
</t>
        </r>
      </text>
    </comment>
    <comment ref="E47" authorId="1" shapeId="0" xr:uid="{D7812E68-14C9-403A-90DB-F68CEB48DFB0}">
      <text>
        <r>
          <rPr>
            <b/>
            <sz val="9"/>
            <color indexed="81"/>
            <rFont val="Tahoma"/>
            <family val="2"/>
          </rPr>
          <t>HH: 9/4/22 - awaiting invoice from BTS PCC for Jan &amp; Feb church hire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<sst xmlns="http://schemas.openxmlformats.org/spreadsheetml/2006/main" count="500" uniqueCount="186">
  <si>
    <t xml:space="preserve">Buckland Tout Saints Parish Council </t>
  </si>
  <si>
    <t>RECEIPTS</t>
  </si>
  <si>
    <t>Date</t>
  </si>
  <si>
    <t>Name</t>
  </si>
  <si>
    <t>Bank</t>
  </si>
  <si>
    <t>Cash</t>
  </si>
  <si>
    <t>Precept</t>
  </si>
  <si>
    <t>Other</t>
  </si>
  <si>
    <t xml:space="preserve"> </t>
  </si>
  <si>
    <t>TOTAL</t>
  </si>
  <si>
    <t>PAYMENTS</t>
  </si>
  <si>
    <t>Minuted</t>
  </si>
  <si>
    <t>Cheque/cash</t>
  </si>
  <si>
    <t>Reason</t>
  </si>
  <si>
    <t>Vat</t>
  </si>
  <si>
    <t>Number</t>
  </si>
  <si>
    <t>Staff</t>
  </si>
  <si>
    <t>S137</t>
  </si>
  <si>
    <t>Asset</t>
  </si>
  <si>
    <t>from Payments</t>
  </si>
  <si>
    <t>PAYE</t>
  </si>
  <si>
    <t>Net</t>
  </si>
  <si>
    <t>PAYE per HMRC</t>
  </si>
  <si>
    <t>Net per paye system</t>
  </si>
  <si>
    <t>Difference to net</t>
  </si>
  <si>
    <t>gross up Net</t>
  </si>
  <si>
    <t>derived annual Gross</t>
  </si>
  <si>
    <t>Total</t>
  </si>
  <si>
    <t xml:space="preserve">Balance </t>
  </si>
  <si>
    <t>Receipts (Sheet1)</t>
  </si>
  <si>
    <t>Payments (Sheet 2)</t>
  </si>
  <si>
    <t>Buckland Tout Saints Parish Council</t>
  </si>
  <si>
    <t>Bank reconciliation</t>
  </si>
  <si>
    <t>Balance per cash book</t>
  </si>
  <si>
    <t>Outstanding Lodgements</t>
  </si>
  <si>
    <t>Outstanding cheques</t>
  </si>
  <si>
    <t>Adjusted total</t>
  </si>
  <si>
    <t>Balance per Bank</t>
  </si>
  <si>
    <t>Difference</t>
  </si>
  <si>
    <t>telephone balance</t>
  </si>
  <si>
    <t>Date received</t>
  </si>
  <si>
    <t>Date cleared on Bank Statement</t>
  </si>
  <si>
    <t>Date of cheque</t>
  </si>
  <si>
    <t>as at</t>
  </si>
  <si>
    <t>Opening balance</t>
  </si>
  <si>
    <t>Receipts</t>
  </si>
  <si>
    <t xml:space="preserve">Payments </t>
  </si>
  <si>
    <t>helen, these dates need to be entered from bank statement</t>
  </si>
  <si>
    <t>Outstanding</t>
  </si>
  <si>
    <t>?</t>
  </si>
  <si>
    <t>count of outstanding</t>
  </si>
  <si>
    <t>this is the date for the reconciliation</t>
  </si>
  <si>
    <t>these rows will automatically populate based on the date selected for the reconciliation in E2</t>
  </si>
  <si>
    <t>Helen, these dates need to be entered from bank statement</t>
  </si>
  <si>
    <t>Code</t>
  </si>
  <si>
    <t>Total/Total.9.c</t>
  </si>
  <si>
    <t>These rows will calculate automatically, do not change them</t>
  </si>
  <si>
    <t>This is the ONLY row which needs to be manually changed each month</t>
  </si>
  <si>
    <t>N</t>
  </si>
  <si>
    <t>1st April 2021 - 31st March 2022</t>
  </si>
  <si>
    <t>Refund for wrong debib battery</t>
  </si>
  <si>
    <t>Refund for defib battery due to import charges</t>
  </si>
  <si>
    <t>27.04.21</t>
  </si>
  <si>
    <t>HMRC</t>
  </si>
  <si>
    <t>H. Hamilton</t>
  </si>
  <si>
    <t>DALC</t>
  </si>
  <si>
    <t>IB</t>
  </si>
  <si>
    <t xml:space="preserve">PAYE - April </t>
  </si>
  <si>
    <t>Salary - April</t>
  </si>
  <si>
    <t>Zoom monthly fee</t>
  </si>
  <si>
    <t>Annual membership fee</t>
  </si>
  <si>
    <t xml:space="preserve">Audit / account training - Clerk </t>
  </si>
  <si>
    <t>21.13.6.a</t>
  </si>
  <si>
    <t>21.13.6.c</t>
  </si>
  <si>
    <t>H.Hamilton</t>
  </si>
  <si>
    <t>Zurich</t>
  </si>
  <si>
    <t xml:space="preserve">PAYE - May </t>
  </si>
  <si>
    <t xml:space="preserve">Salary  - May </t>
  </si>
  <si>
    <t xml:space="preserve">Annual renewal </t>
  </si>
  <si>
    <t>26.05.21</t>
  </si>
  <si>
    <t>Brought forward from 5th April 2021</t>
  </si>
  <si>
    <t>12.04.21</t>
  </si>
  <si>
    <t xml:space="preserve">1st Precept - SHDC </t>
  </si>
  <si>
    <t>Balance on April 5th 2022?</t>
  </si>
  <si>
    <t>23.06.21</t>
  </si>
  <si>
    <t>D. Jones</t>
  </si>
  <si>
    <t>Phone paint reimbursement</t>
  </si>
  <si>
    <t>22.06.21</t>
  </si>
  <si>
    <t>21/16.5.b.ii</t>
  </si>
  <si>
    <t>21/16.5.b.i</t>
  </si>
  <si>
    <t xml:space="preserve">A. Marshall </t>
  </si>
  <si>
    <t xml:space="preserve">Audit fees </t>
  </si>
  <si>
    <t xml:space="preserve">Salary - June </t>
  </si>
  <si>
    <t>24.06.21</t>
  </si>
  <si>
    <t xml:space="preserve">PAYE - June </t>
  </si>
  <si>
    <t>J. Harrison</t>
  </si>
  <si>
    <t>Bollard / cement refund</t>
  </si>
  <si>
    <t>20.07.21</t>
  </si>
  <si>
    <t>PAYE - July</t>
  </si>
  <si>
    <t>Salary - July</t>
  </si>
  <si>
    <t>M. Moore</t>
  </si>
  <si>
    <t>Refund - parish tables</t>
  </si>
  <si>
    <t>Refund - parish glasses</t>
  </si>
  <si>
    <t>Lee Hammett</t>
  </si>
  <si>
    <t xml:space="preserve">Telephone box painting </t>
  </si>
  <si>
    <t>25.08.21</t>
  </si>
  <si>
    <t>PAYE - August</t>
  </si>
  <si>
    <t>Salary - August</t>
  </si>
  <si>
    <t>Stationary refund</t>
  </si>
  <si>
    <t>12.08.21</t>
  </si>
  <si>
    <t xml:space="preserve">N </t>
  </si>
  <si>
    <t>21.09.21</t>
  </si>
  <si>
    <t>20.09.21</t>
  </si>
  <si>
    <t>22.09.21</t>
  </si>
  <si>
    <t>2nd Precept - SHDC</t>
  </si>
  <si>
    <t>24.09.21</t>
  </si>
  <si>
    <t>01.10.21</t>
  </si>
  <si>
    <t xml:space="preserve">SHDC / Cllr Foss / Wifi Equipment </t>
  </si>
  <si>
    <t>21/18.5</t>
  </si>
  <si>
    <t>21/20.5</t>
  </si>
  <si>
    <t>PAYE - September</t>
  </si>
  <si>
    <t>21/21.5</t>
  </si>
  <si>
    <t>Salary - September</t>
  </si>
  <si>
    <t>BTS PCC</t>
  </si>
  <si>
    <t>Annual grass cutting</t>
  </si>
  <si>
    <t>Church hire - Sept</t>
  </si>
  <si>
    <t>07.10.21</t>
  </si>
  <si>
    <t>DCC / Cllr Gilbert / Wifi Equipment</t>
  </si>
  <si>
    <t>11.10.21</t>
  </si>
  <si>
    <t>26.10.21</t>
  </si>
  <si>
    <t>PAYE - October</t>
  </si>
  <si>
    <t xml:space="preserve">Salary - October </t>
  </si>
  <si>
    <t>23.11.21</t>
  </si>
  <si>
    <t>PAYE - Nov</t>
  </si>
  <si>
    <t>Salary - Nov</t>
  </si>
  <si>
    <t>Church hire - Nov</t>
  </si>
  <si>
    <t>21/24.5</t>
  </si>
  <si>
    <t>20.12.21</t>
  </si>
  <si>
    <t xml:space="preserve">HMRC </t>
  </si>
  <si>
    <t>PAYE - Dec</t>
  </si>
  <si>
    <t>30.11.21</t>
  </si>
  <si>
    <t>Salary - Dec</t>
  </si>
  <si>
    <t>O.Jones</t>
  </si>
  <si>
    <t>Website hosting</t>
  </si>
  <si>
    <t>K. Ball</t>
  </si>
  <si>
    <t>PC &amp; PCC live streaming set up</t>
  </si>
  <si>
    <t xml:space="preserve">Phone box light </t>
  </si>
  <si>
    <t>18.01.22</t>
  </si>
  <si>
    <t>Brooking Hire</t>
  </si>
  <si>
    <t>Gully cleaning</t>
  </si>
  <si>
    <t>24.01.22</t>
  </si>
  <si>
    <t xml:space="preserve">Salary - Jan </t>
  </si>
  <si>
    <t xml:space="preserve">HRMC </t>
  </si>
  <si>
    <t>PAYE - Jan</t>
  </si>
  <si>
    <t xml:space="preserve">Church hire - Jan </t>
  </si>
  <si>
    <t>22/02.6</t>
  </si>
  <si>
    <t>15.02.22</t>
  </si>
  <si>
    <t>ActionWest</t>
  </si>
  <si>
    <t xml:space="preserve">Wifi Equipment installation </t>
  </si>
  <si>
    <t>Laptop MOT</t>
  </si>
  <si>
    <t>PAYE - Feb</t>
  </si>
  <si>
    <t>Salary - Feb</t>
  </si>
  <si>
    <t>Church hire - Feb</t>
  </si>
  <si>
    <t xml:space="preserve">Noticeboard repairs </t>
  </si>
  <si>
    <t>20.02.22</t>
  </si>
  <si>
    <t>Stamps</t>
  </si>
  <si>
    <t>11.02.22</t>
  </si>
  <si>
    <t>SHDC / Cllr Foss website update</t>
  </si>
  <si>
    <t>09.02.22</t>
  </si>
  <si>
    <t>21.02.22</t>
  </si>
  <si>
    <t>17.03.22</t>
  </si>
  <si>
    <t>22/07.6</t>
  </si>
  <si>
    <t xml:space="preserve">Refund for band at picnic </t>
  </si>
  <si>
    <t>DCC gully cleansing part refund</t>
  </si>
  <si>
    <t>25.03.22</t>
  </si>
  <si>
    <t>ICO Registration</t>
  </si>
  <si>
    <t>30.03.22</t>
  </si>
  <si>
    <t xml:space="preserve">Salary - March </t>
  </si>
  <si>
    <t xml:space="preserve">PAYE - March </t>
  </si>
  <si>
    <t>Jonathan Harrison</t>
  </si>
  <si>
    <t>Refund - sign fixtures</t>
  </si>
  <si>
    <t>31.03.22</t>
  </si>
  <si>
    <t>05.04.22</t>
  </si>
  <si>
    <t>22/11.5</t>
  </si>
  <si>
    <t>21.06.21</t>
  </si>
  <si>
    <t>22/13.3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</si>
</sst>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£&quot;#,##0.00;[Red]\-&quot;£&quot;#,##0.00"/>
    <numFmt numFmtId="164" formatCode="[$£-809]#,##0.00;[Red][$£-809]\-#,##0.00"/>
    <numFmt numFmtId="165" formatCode="d/m/yy;@"/>
    <numFmt numFmtId="166" formatCode="[$£-809]#,##0.00\ ;\-[$£-809]#,##0.00\ ;[$£-809]\-#\ ;@\ "/>
    <numFmt numFmtId="167" formatCode="[$£-809]#,##0.00;[Red]\-[$£-809]#,##0.00"/>
    <numFmt numFmtId="168" formatCode="dd/mm/yy;@"/>
    <numFmt numFmtId="169" formatCode="mm/dd/yy;@"/>
    <numFmt numFmtId="170" formatCode="\£#,##0.00;[Red]&quot;-£&quot;#,##0.00"/>
    <numFmt numFmtId="171" formatCode="&quot; £&quot;#,##0.00\ ;&quot;-£&quot;#,##0.00\ ;&quot; £-&quot;#\ ;@\ "/>
    <numFmt numFmtId="172" formatCode="0.0"/>
    <numFmt numFmtId="173" formatCode="[$£]#,##0.00;[Red]\-[$£]#,##0.00"/>
    <numFmt numFmtId="174" formatCode="d\-mmm\-yy;@"/>
    <numFmt numFmtId="175" formatCode="#,##0.00_ ;[Red]\-#,##0.00\ "/>
    <numFmt numFmtId="176" formatCode="#,##0_ ;[Red]\-#,##0\ "/>
    <numFmt numFmtId="177" formatCode="&quot;£&quot;#,##0.00"/>
  </numFmts>
  <fonts count="16" x14ac:knownFonts="1">
    <font>
      <sz val="10"/>
      <name val="Arial"/>
      <family val="2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24">
    <xf numFmtId="0" fontId="0" fillId="0" borderId="0" xfId="0"/>
    <xf numFmtId="0" fontId="8" fillId="0" borderId="0" xfId="1" applyAlignment="1">
      <alignment horizontal="center"/>
    </xf>
    <xf numFmtId="164" fontId="8" fillId="0" borderId="0" xfId="1" applyNumberFormat="1" applyAlignment="1">
      <alignment horizontal="center"/>
    </xf>
    <xf numFmtId="167" fontId="0" fillId="0" borderId="1" xfId="0" applyNumberFormat="1" applyBorder="1"/>
    <xf numFmtId="167" fontId="8" fillId="0" borderId="1" xfId="1" applyNumberFormat="1" applyBorder="1" applyAlignment="1">
      <alignment horizontal="right"/>
    </xf>
    <xf numFmtId="0" fontId="0" fillId="0" borderId="1" xfId="0" applyBorder="1"/>
    <xf numFmtId="14" fontId="0" fillId="0" borderId="0" xfId="0" applyNumberFormat="1"/>
    <xf numFmtId="171" fontId="8" fillId="0" borderId="0" xfId="1" applyNumberFormat="1"/>
    <xf numFmtId="166" fontId="8" fillId="0" borderId="0" xfId="1" applyNumberFormat="1" applyAlignment="1">
      <alignment horizontal="center"/>
    </xf>
    <xf numFmtId="14" fontId="8" fillId="0" borderId="0" xfId="1" applyNumberFormat="1" applyAlignment="1">
      <alignment horizontal="center"/>
    </xf>
    <xf numFmtId="14" fontId="4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4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171" fontId="5" fillId="0" borderId="1" xfId="1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1" applyFont="1" applyBorder="1" applyAlignment="1">
      <alignment horizontal="left"/>
    </xf>
    <xf numFmtId="167" fontId="8" fillId="0" borderId="0" xfId="1" applyNumberFormat="1"/>
    <xf numFmtId="167" fontId="0" fillId="0" borderId="1" xfId="1" applyNumberFormat="1" applyFont="1" applyBorder="1"/>
    <xf numFmtId="167" fontId="0" fillId="0" borderId="1" xfId="1" applyNumberFormat="1" applyFont="1" applyBorder="1" applyAlignment="1">
      <alignment horizontal="center"/>
    </xf>
    <xf numFmtId="167" fontId="8" fillId="0" borderId="1" xfId="1" applyNumberFormat="1" applyBorder="1" applyAlignment="1">
      <alignment horizontal="center"/>
    </xf>
    <xf numFmtId="172" fontId="0" fillId="0" borderId="1" xfId="1" applyNumberFormat="1" applyFont="1" applyBorder="1" applyAlignment="1">
      <alignment horizontal="center"/>
    </xf>
    <xf numFmtId="167" fontId="8" fillId="0" borderId="1" xfId="1" applyNumberFormat="1" applyBorder="1"/>
    <xf numFmtId="14" fontId="0" fillId="0" borderId="1" xfId="1" applyNumberFormat="1" applyFont="1" applyBorder="1" applyAlignment="1">
      <alignment horizontal="left"/>
    </xf>
    <xf numFmtId="167" fontId="0" fillId="0" borderId="0" xfId="1" applyNumberFormat="1" applyFont="1" applyAlignment="1">
      <alignment horizontal="right"/>
    </xf>
    <xf numFmtId="167" fontId="8" fillId="0" borderId="0" xfId="1" applyNumberFormat="1" applyAlignment="1">
      <alignment horizontal="center"/>
    </xf>
    <xf numFmtId="170" fontId="0" fillId="0" borderId="1" xfId="1" applyNumberFormat="1" applyFont="1" applyBorder="1" applyAlignment="1">
      <alignment horizontal="left"/>
    </xf>
    <xf numFmtId="14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0" fillId="0" borderId="4" xfId="0" applyBorder="1"/>
    <xf numFmtId="14" fontId="0" fillId="0" borderId="1" xfId="0" applyNumberFormat="1" applyBorder="1" applyAlignment="1">
      <alignment horizontal="left"/>
    </xf>
    <xf numFmtId="164" fontId="0" fillId="0" borderId="0" xfId="1" applyNumberFormat="1" applyFont="1" applyAlignment="1">
      <alignment horizontal="left"/>
    </xf>
    <xf numFmtId="167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right"/>
    </xf>
    <xf numFmtId="170" fontId="8" fillId="0" borderId="0" xfId="1" applyNumberFormat="1" applyAlignment="1">
      <alignment horizontal="center"/>
    </xf>
    <xf numFmtId="165" fontId="8" fillId="0" borderId="0" xfId="1" applyNumberFormat="1" applyAlignment="1">
      <alignment horizontal="center"/>
    </xf>
    <xf numFmtId="0" fontId="4" fillId="0" borderId="0" xfId="1" applyFont="1"/>
    <xf numFmtId="0" fontId="4" fillId="0" borderId="1" xfId="1" applyFont="1" applyBorder="1"/>
    <xf numFmtId="173" fontId="4" fillId="0" borderId="1" xfId="1" applyNumberFormat="1" applyFont="1" applyBorder="1" applyAlignment="1">
      <alignment horizontal="center"/>
    </xf>
    <xf numFmtId="173" fontId="8" fillId="0" borderId="1" xfId="1" applyNumberFormat="1" applyBorder="1" applyAlignment="1">
      <alignment horizontal="center"/>
    </xf>
    <xf numFmtId="0" fontId="8" fillId="0" borderId="0" xfId="1"/>
    <xf numFmtId="173" fontId="8" fillId="0" borderId="0" xfId="1" applyNumberFormat="1" applyAlignment="1">
      <alignment horizontal="center"/>
    </xf>
    <xf numFmtId="0" fontId="4" fillId="0" borderId="0" xfId="0" applyFont="1"/>
    <xf numFmtId="164" fontId="0" fillId="0" borderId="0" xfId="0" applyNumberFormat="1"/>
    <xf numFmtId="164" fontId="8" fillId="0" borderId="0" xfId="1" applyNumberFormat="1"/>
    <xf numFmtId="0" fontId="4" fillId="0" borderId="5" xfId="0" applyFont="1" applyBorder="1"/>
    <xf numFmtId="164" fontId="8" fillId="0" borderId="5" xfId="1" applyNumberFormat="1" applyBorder="1"/>
    <xf numFmtId="0" fontId="0" fillId="0" borderId="5" xfId="0" applyBorder="1"/>
    <xf numFmtId="0" fontId="8" fillId="0" borderId="5" xfId="1" applyBorder="1"/>
    <xf numFmtId="174" fontId="8" fillId="0" borderId="5" xfId="1" applyNumberFormat="1" applyBorder="1"/>
    <xf numFmtId="167" fontId="0" fillId="0" borderId="6" xfId="1" applyNumberFormat="1" applyFont="1" applyBorder="1" applyAlignment="1">
      <alignment horizontal="right"/>
    </xf>
    <xf numFmtId="167" fontId="8" fillId="0" borderId="6" xfId="1" applyNumberFormat="1" applyBorder="1" applyAlignment="1">
      <alignment horizontal="right"/>
    </xf>
    <xf numFmtId="167" fontId="8" fillId="0" borderId="3" xfId="1" applyNumberFormat="1" applyBorder="1"/>
    <xf numFmtId="167" fontId="8" fillId="0" borderId="3" xfId="1" applyNumberFormat="1" applyBorder="1" applyAlignment="1">
      <alignment horizontal="center"/>
    </xf>
    <xf numFmtId="167" fontId="8" fillId="0" borderId="8" xfId="1" applyNumberFormat="1" applyBorder="1"/>
    <xf numFmtId="167" fontId="0" fillId="0" borderId="8" xfId="1" applyNumberFormat="1" applyFont="1" applyBorder="1" applyAlignment="1">
      <alignment horizontal="right"/>
    </xf>
    <xf numFmtId="167" fontId="8" fillId="0" borderId="8" xfId="1" applyNumberFormat="1" applyBorder="1" applyAlignment="1">
      <alignment horizontal="center"/>
    </xf>
    <xf numFmtId="0" fontId="0" fillId="0" borderId="7" xfId="1" applyFont="1" applyBorder="1" applyAlignment="1">
      <alignment horizontal="left"/>
    </xf>
    <xf numFmtId="170" fontId="0" fillId="0" borderId="7" xfId="1" applyNumberFormat="1" applyFont="1" applyBorder="1" applyAlignment="1">
      <alignment horizontal="left"/>
    </xf>
    <xf numFmtId="167" fontId="0" fillId="0" borderId="9" xfId="1" applyNumberFormat="1" applyFont="1" applyBorder="1" applyAlignment="1">
      <alignment horizontal="right"/>
    </xf>
    <xf numFmtId="167" fontId="8" fillId="0" borderId="10" xfId="1" applyNumberFormat="1" applyBorder="1"/>
    <xf numFmtId="14" fontId="0" fillId="0" borderId="3" xfId="0" applyNumberFormat="1" applyBorder="1"/>
    <xf numFmtId="167" fontId="8" fillId="0" borderId="3" xfId="1" applyNumberFormat="1" applyBorder="1" applyAlignment="1">
      <alignment horizontal="right"/>
    </xf>
    <xf numFmtId="14" fontId="0" fillId="0" borderId="8" xfId="0" applyNumberFormat="1" applyBorder="1" applyAlignment="1">
      <alignment horizontal="left"/>
    </xf>
    <xf numFmtId="0" fontId="0" fillId="0" borderId="8" xfId="1" applyFont="1" applyBorder="1" applyAlignment="1">
      <alignment horizontal="left"/>
    </xf>
    <xf numFmtId="164" fontId="10" fillId="0" borderId="0" xfId="1" applyNumberFormat="1" applyFont="1" applyAlignment="1">
      <alignment horizontal="center"/>
    </xf>
    <xf numFmtId="0" fontId="10" fillId="0" borderId="0" xfId="0" applyFont="1"/>
    <xf numFmtId="164" fontId="10" fillId="0" borderId="0" xfId="1" applyNumberFormat="1" applyFont="1"/>
    <xf numFmtId="165" fontId="10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166" fontId="10" fillId="0" borderId="1" xfId="1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164" fontId="10" fillId="0" borderId="1" xfId="1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165" fontId="10" fillId="0" borderId="1" xfId="1" applyNumberFormat="1" applyFont="1" applyBorder="1" applyAlignment="1">
      <alignment horizontal="center"/>
    </xf>
    <xf numFmtId="0" fontId="10" fillId="0" borderId="1" xfId="1" applyFont="1" applyBorder="1"/>
    <xf numFmtId="167" fontId="10" fillId="0" borderId="1" xfId="1" applyNumberFormat="1" applyFont="1" applyBorder="1"/>
    <xf numFmtId="167" fontId="10" fillId="0" borderId="1" xfId="0" applyNumberFormat="1" applyFont="1" applyBorder="1"/>
    <xf numFmtId="167" fontId="10" fillId="0" borderId="1" xfId="1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center"/>
    </xf>
    <xf numFmtId="167" fontId="11" fillId="0" borderId="1" xfId="1" applyNumberFormat="1" applyFont="1" applyBorder="1" applyAlignment="1">
      <alignment horizontal="right"/>
    </xf>
    <xf numFmtId="167" fontId="11" fillId="0" borderId="1" xfId="1" applyNumberFormat="1" applyFont="1" applyBorder="1"/>
    <xf numFmtId="0" fontId="10" fillId="0" borderId="1" xfId="0" applyFont="1" applyBorder="1"/>
    <xf numFmtId="165" fontId="11" fillId="0" borderId="1" xfId="1" applyNumberFormat="1" applyFont="1" applyBorder="1" applyAlignment="1">
      <alignment horizontal="left"/>
    </xf>
    <xf numFmtId="167" fontId="11" fillId="0" borderId="2" xfId="1" applyNumberFormat="1" applyFont="1" applyBorder="1" applyAlignment="1">
      <alignment horizontal="right"/>
    </xf>
    <xf numFmtId="170" fontId="10" fillId="0" borderId="3" xfId="0" applyNumberFormat="1" applyFont="1" applyBorder="1" applyAlignment="1">
      <alignment horizontal="right"/>
    </xf>
    <xf numFmtId="164" fontId="10" fillId="0" borderId="3" xfId="1" applyNumberFormat="1" applyFont="1" applyBorder="1"/>
    <xf numFmtId="0" fontId="10" fillId="0" borderId="3" xfId="0" applyFont="1" applyBorder="1"/>
    <xf numFmtId="170" fontId="10" fillId="0" borderId="1" xfId="1" applyNumberFormat="1" applyFont="1" applyBorder="1" applyAlignment="1">
      <alignment horizontal="right"/>
    </xf>
    <xf numFmtId="164" fontId="11" fillId="0" borderId="1" xfId="1" applyNumberFormat="1" applyFont="1" applyBorder="1"/>
    <xf numFmtId="170" fontId="10" fillId="0" borderId="1" xfId="0" applyNumberFormat="1" applyFont="1" applyBorder="1" applyAlignment="1">
      <alignment horizontal="right"/>
    </xf>
    <xf numFmtId="164" fontId="10" fillId="0" borderId="1" xfId="1" applyNumberFormat="1" applyFont="1" applyBorder="1"/>
    <xf numFmtId="166" fontId="11" fillId="0" borderId="1" xfId="0" applyNumberFormat="1" applyFont="1" applyBorder="1"/>
    <xf numFmtId="170" fontId="11" fillId="0" borderId="1" xfId="1" applyNumberFormat="1" applyFont="1" applyBorder="1" applyAlignment="1">
      <alignment horizontal="right"/>
    </xf>
    <xf numFmtId="0" fontId="11" fillId="0" borderId="1" xfId="0" applyFont="1" applyBorder="1"/>
    <xf numFmtId="0" fontId="11" fillId="0" borderId="0" xfId="0" applyFont="1"/>
    <xf numFmtId="0" fontId="10" fillId="0" borderId="0" xfId="1" applyFont="1" applyAlignment="1">
      <alignment horizontal="center"/>
    </xf>
    <xf numFmtId="49" fontId="0" fillId="0" borderId="1" xfId="1" quotePrefix="1" applyNumberFormat="1" applyFont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0" fontId="0" fillId="0" borderId="1" xfId="1" applyFont="1" applyBorder="1"/>
    <xf numFmtId="165" fontId="0" fillId="0" borderId="1" xfId="1" applyNumberFormat="1" applyFont="1" applyBorder="1" applyAlignment="1">
      <alignment horizontal="center"/>
    </xf>
    <xf numFmtId="170" fontId="0" fillId="0" borderId="1" xfId="1" applyNumberFormat="1" applyFont="1" applyBorder="1"/>
    <xf numFmtId="8" fontId="10" fillId="0" borderId="0" xfId="0" applyNumberFormat="1" applyFont="1" applyAlignment="1">
      <alignment horizontal="right"/>
    </xf>
    <xf numFmtId="0" fontId="7" fillId="0" borderId="5" xfId="1" applyFont="1" applyBorder="1" applyAlignment="1">
      <alignment horizontal="center"/>
    </xf>
    <xf numFmtId="168" fontId="4" fillId="0" borderId="5" xfId="1" applyNumberFormat="1" applyFont="1" applyBorder="1"/>
    <xf numFmtId="0" fontId="7" fillId="0" borderId="5" xfId="1" applyFont="1" applyBorder="1" applyAlignment="1">
      <alignment horizontal="left"/>
    </xf>
    <xf numFmtId="175" fontId="7" fillId="0" borderId="5" xfId="1" applyNumberFormat="1" applyFont="1" applyBorder="1" applyAlignment="1">
      <alignment horizontal="right"/>
    </xf>
    <xf numFmtId="175" fontId="8" fillId="0" borderId="5" xfId="1" applyNumberFormat="1" applyBorder="1" applyAlignment="1">
      <alignment horizontal="right"/>
    </xf>
    <xf numFmtId="0" fontId="8" fillId="0" borderId="5" xfId="1" applyBorder="1" applyAlignment="1">
      <alignment horizontal="right"/>
    </xf>
    <xf numFmtId="164" fontId="8" fillId="0" borderId="5" xfId="1" applyNumberFormat="1" applyBorder="1" applyAlignment="1">
      <alignment horizontal="right"/>
    </xf>
    <xf numFmtId="0" fontId="7" fillId="2" borderId="5" xfId="1" applyFont="1" applyFill="1" applyBorder="1" applyAlignment="1">
      <alignment horizontal="left"/>
    </xf>
    <xf numFmtId="0" fontId="8" fillId="2" borderId="5" xfId="1" applyFill="1" applyBorder="1" applyAlignment="1">
      <alignment horizontal="right"/>
    </xf>
    <xf numFmtId="164" fontId="8" fillId="2" borderId="5" xfId="1" applyNumberFormat="1" applyFill="1" applyBorder="1" applyAlignment="1">
      <alignment horizontal="right"/>
    </xf>
    <xf numFmtId="175" fontId="7" fillId="2" borderId="5" xfId="1" applyNumberFormat="1" applyFont="1" applyFill="1" applyBorder="1" applyAlignment="1">
      <alignment horizontal="right"/>
    </xf>
    <xf numFmtId="176" fontId="10" fillId="0" borderId="1" xfId="0" applyNumberFormat="1" applyFont="1" applyBorder="1"/>
    <xf numFmtId="167" fontId="10" fillId="0" borderId="4" xfId="1" applyNumberFormat="1" applyFont="1" applyBorder="1"/>
    <xf numFmtId="0" fontId="10" fillId="0" borderId="7" xfId="0" applyFont="1" applyBorder="1" applyAlignment="1">
      <alignment horizontal="right" vertical="top" wrapText="1"/>
    </xf>
    <xf numFmtId="167" fontId="10" fillId="0" borderId="3" xfId="0" applyNumberFormat="1" applyFont="1" applyBorder="1" applyAlignment="1">
      <alignment horizontal="right"/>
    </xf>
    <xf numFmtId="0" fontId="10" fillId="0" borderId="8" xfId="0" applyFont="1" applyBorder="1"/>
    <xf numFmtId="0" fontId="0" fillId="0" borderId="8" xfId="0" applyBorder="1"/>
    <xf numFmtId="0" fontId="0" fillId="0" borderId="12" xfId="0" applyBorder="1"/>
    <xf numFmtId="175" fontId="0" fillId="0" borderId="11" xfId="0" applyNumberFormat="1" applyBorder="1"/>
    <xf numFmtId="0" fontId="12" fillId="2" borderId="5" xfId="1" applyFont="1" applyFill="1" applyBorder="1"/>
    <xf numFmtId="0" fontId="7" fillId="2" borderId="5" xfId="1" applyFont="1" applyFill="1" applyBorder="1" applyAlignment="1">
      <alignment horizontal="right"/>
    </xf>
    <xf numFmtId="164" fontId="7" fillId="2" borderId="5" xfId="1" applyNumberFormat="1" applyFont="1" applyFill="1" applyBorder="1" applyAlignment="1">
      <alignment horizontal="right"/>
    </xf>
    <xf numFmtId="175" fontId="12" fillId="2" borderId="5" xfId="1" applyNumberFormat="1" applyFont="1" applyFill="1" applyBorder="1" applyAlignment="1">
      <alignment horizontal="right"/>
    </xf>
    <xf numFmtId="0" fontId="12" fillId="2" borderId="5" xfId="0" applyFont="1" applyFill="1" applyBorder="1"/>
    <xf numFmtId="0" fontId="7" fillId="2" borderId="5" xfId="1" applyFont="1" applyFill="1" applyBorder="1"/>
    <xf numFmtId="164" fontId="7" fillId="2" borderId="5" xfId="1" applyNumberFormat="1" applyFont="1" applyFill="1" applyBorder="1"/>
    <xf numFmtId="164" fontId="12" fillId="2" borderId="10" xfId="1" applyNumberFormat="1" applyFont="1" applyFill="1" applyBorder="1"/>
    <xf numFmtId="0" fontId="7" fillId="2" borderId="5" xfId="0" applyFont="1" applyFill="1" applyBorder="1"/>
    <xf numFmtId="164" fontId="7" fillId="2" borderId="13" xfId="1" applyNumberFormat="1" applyFont="1" applyFill="1" applyBorder="1"/>
    <xf numFmtId="165" fontId="8" fillId="0" borderId="0" xfId="1" applyNumberFormat="1" applyAlignment="1">
      <alignment horizontal="center" wrapText="1"/>
    </xf>
    <xf numFmtId="49" fontId="8" fillId="3" borderId="0" xfId="1" applyNumberFormat="1" applyFill="1" applyAlignment="1">
      <alignment horizontal="center"/>
    </xf>
    <xf numFmtId="164" fontId="4" fillId="3" borderId="0" xfId="1" applyNumberFormat="1" applyFont="1" applyFill="1" applyAlignment="1">
      <alignment horizontal="center"/>
    </xf>
    <xf numFmtId="0" fontId="10" fillId="3" borderId="6" xfId="0" applyFont="1" applyFill="1" applyBorder="1" applyAlignment="1">
      <alignment horizontal="right" vertical="top" wrapText="1"/>
    </xf>
    <xf numFmtId="167" fontId="0" fillId="3" borderId="1" xfId="1" applyNumberFormat="1" applyFont="1" applyFill="1" applyBorder="1" applyAlignment="1">
      <alignment horizontal="center"/>
    </xf>
    <xf numFmtId="167" fontId="8" fillId="3" borderId="0" xfId="1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164" fontId="8" fillId="3" borderId="0" xfId="1" applyNumberFormat="1" applyFill="1" applyAlignment="1">
      <alignment horizontal="center"/>
    </xf>
    <xf numFmtId="0" fontId="10" fillId="3" borderId="0" xfId="0" applyFont="1" applyFill="1" applyAlignment="1">
      <alignment vertical="top" wrapText="1"/>
    </xf>
    <xf numFmtId="0" fontId="10" fillId="3" borderId="0" xfId="0" applyFont="1" applyFill="1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11" fillId="3" borderId="0" xfId="0" applyFont="1" applyFill="1"/>
    <xf numFmtId="167" fontId="11" fillId="3" borderId="2" xfId="1" applyNumberFormat="1" applyFont="1" applyFill="1" applyBorder="1" applyAlignment="1">
      <alignment horizontal="right"/>
    </xf>
    <xf numFmtId="0" fontId="10" fillId="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5" fontId="0" fillId="0" borderId="0" xfId="1" applyNumberFormat="1" applyFont="1" applyAlignment="1">
      <alignment horizontal="center"/>
    </xf>
    <xf numFmtId="16" fontId="0" fillId="0" borderId="0" xfId="0" applyNumberFormat="1"/>
    <xf numFmtId="0" fontId="0" fillId="0" borderId="1" xfId="1" applyFont="1" applyBorder="1" applyAlignment="1">
      <alignment horizontal="left" vertical="top" wrapText="1"/>
    </xf>
    <xf numFmtId="14" fontId="0" fillId="0" borderId="1" xfId="1" applyNumberFormat="1" applyFont="1" applyBorder="1" applyAlignment="1">
      <alignment horizontal="left" vertical="top" wrapText="1"/>
    </xf>
    <xf numFmtId="14" fontId="0" fillId="0" borderId="7" xfId="1" applyNumberFormat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3" borderId="0" xfId="0" applyFill="1" applyAlignment="1">
      <alignment horizontal="right"/>
    </xf>
    <xf numFmtId="165" fontId="0" fillId="0" borderId="0" xfId="1" applyNumberFormat="1" applyFont="1" applyAlignment="1">
      <alignment horizontal="center" wrapText="1"/>
    </xf>
    <xf numFmtId="168" fontId="0" fillId="0" borderId="1" xfId="1" applyNumberFormat="1" applyFont="1" applyBorder="1" applyAlignment="1">
      <alignment horizontal="center"/>
    </xf>
    <xf numFmtId="166" fontId="8" fillId="0" borderId="1" xfId="1" applyNumberFormat="1" applyBorder="1" applyAlignment="1">
      <alignment horizontal="center" vertical="top" wrapText="1"/>
    </xf>
    <xf numFmtId="165" fontId="0" fillId="0" borderId="0" xfId="1" applyNumberFormat="1" applyFont="1" applyAlignment="1">
      <alignment horizontal="center"/>
    </xf>
    <xf numFmtId="164" fontId="4" fillId="0" borderId="5" xfId="1" applyNumberFormat="1" applyFont="1" applyBorder="1"/>
    <xf numFmtId="171" fontId="0" fillId="0" borderId="6" xfId="1" applyNumberFormat="1" applyFont="1" applyBorder="1" applyAlignment="1">
      <alignment horizontal="right" vertical="top" wrapText="1"/>
    </xf>
    <xf numFmtId="14" fontId="0" fillId="4" borderId="1" xfId="1" applyNumberFormat="1" applyFont="1" applyFill="1" applyBorder="1" applyAlignment="1">
      <alignment horizontal="left"/>
    </xf>
    <xf numFmtId="170" fontId="0" fillId="4" borderId="1" xfId="1" applyNumberFormat="1" applyFont="1" applyFill="1" applyBorder="1" applyAlignment="1">
      <alignment horizontal="left"/>
    </xf>
    <xf numFmtId="49" fontId="0" fillId="4" borderId="1" xfId="1" quotePrefix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left"/>
    </xf>
    <xf numFmtId="167" fontId="8" fillId="4" borderId="1" xfId="1" applyNumberFormat="1" applyFill="1" applyBorder="1"/>
    <xf numFmtId="168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/>
    <xf numFmtId="167" fontId="10" fillId="4" borderId="1" xfId="1" applyNumberFormat="1" applyFont="1" applyFill="1" applyBorder="1" applyAlignment="1">
      <alignment horizontal="right"/>
    </xf>
    <xf numFmtId="166" fontId="8" fillId="0" borderId="1" xfId="1" applyNumberFormat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14" fontId="8" fillId="0" borderId="1" xfId="1" applyNumberFormat="1" applyFont="1" applyBorder="1" applyAlignment="1">
      <alignment horizontal="left" vertical="top" wrapText="1"/>
    </xf>
    <xf numFmtId="167" fontId="8" fillId="0" borderId="1" xfId="1" applyNumberFormat="1" applyFont="1" applyBorder="1"/>
    <xf numFmtId="164" fontId="8" fillId="0" borderId="1" xfId="1" applyNumberFormat="1" applyFont="1" applyBorder="1" applyAlignment="1">
      <alignment horizontal="left" vertical="top" wrapText="1"/>
    </xf>
    <xf numFmtId="165" fontId="8" fillId="0" borderId="0" xfId="1" applyNumberFormat="1" applyFont="1" applyAlignment="1">
      <alignment horizont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horizontal="left" vertical="top" wrapText="1"/>
    </xf>
    <xf numFmtId="167" fontId="8" fillId="0" borderId="13" xfId="1" applyNumberFormat="1" applyBorder="1"/>
    <xf numFmtId="167" fontId="0" fillId="0" borderId="13" xfId="1" applyNumberFormat="1" applyFont="1" applyBorder="1" applyAlignment="1">
      <alignment horizontal="right"/>
    </xf>
    <xf numFmtId="171" fontId="8" fillId="0" borderId="1" xfId="1" applyNumberFormat="1" applyFont="1" applyBorder="1" applyAlignment="1">
      <alignment horizontal="left" vertical="top" wrapText="1"/>
    </xf>
    <xf numFmtId="49" fontId="0" fillId="0" borderId="1" xfId="1" quotePrefix="1" applyNumberFormat="1" applyFont="1" applyBorder="1" applyAlignment="1">
      <alignment horizontal="left"/>
    </xf>
    <xf numFmtId="0" fontId="0" fillId="3" borderId="6" xfId="0" applyFont="1" applyFill="1" applyBorder="1" applyAlignment="1">
      <alignment horizontal="center" vertical="top" wrapText="1"/>
    </xf>
    <xf numFmtId="171" fontId="8" fillId="0" borderId="6" xfId="1" applyNumberFormat="1" applyFont="1" applyBorder="1" applyAlignment="1">
      <alignment horizontal="right" vertical="top" wrapText="1"/>
    </xf>
    <xf numFmtId="166" fontId="8" fillId="0" borderId="1" xfId="1" applyNumberFormat="1" applyFont="1" applyBorder="1" applyAlignment="1">
      <alignment horizontal="center" vertical="top" wrapText="1"/>
    </xf>
    <xf numFmtId="166" fontId="8" fillId="0" borderId="4" xfId="1" applyNumberFormat="1" applyFont="1" applyBorder="1" applyAlignment="1">
      <alignment horizontal="center" vertical="top" wrapText="1"/>
    </xf>
    <xf numFmtId="166" fontId="8" fillId="0" borderId="1" xfId="1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167" fontId="8" fillId="0" borderId="1" xfId="1" applyNumberFormat="1" applyFill="1" applyBorder="1" applyAlignment="1">
      <alignment horizontal="center"/>
    </xf>
    <xf numFmtId="0" fontId="0" fillId="4" borderId="8" xfId="1" applyFont="1" applyFill="1" applyBorder="1" applyAlignment="1">
      <alignment horizontal="left"/>
    </xf>
    <xf numFmtId="166" fontId="8" fillId="0" borderId="0" xfId="1" applyNumberFormat="1" applyFont="1" applyBorder="1" applyAlignment="1">
      <alignment horizontal="center" vertical="top" wrapText="1"/>
    </xf>
    <xf numFmtId="166" fontId="8" fillId="0" borderId="0" xfId="1" applyNumberFormat="1" applyFont="1" applyBorder="1" applyAlignment="1">
      <alignment horizontal="center" vertical="center" wrapText="1"/>
    </xf>
    <xf numFmtId="166" fontId="10" fillId="0" borderId="0" xfId="1" applyNumberFormat="1" applyFont="1" applyBorder="1" applyAlignment="1">
      <alignment horizontal="right" vertical="top" wrapText="1"/>
    </xf>
    <xf numFmtId="164" fontId="10" fillId="0" borderId="4" xfId="1" applyNumberFormat="1" applyFont="1" applyBorder="1" applyAlignment="1">
      <alignment horizontal="right" vertical="top" wrapText="1"/>
    </xf>
    <xf numFmtId="165" fontId="0" fillId="0" borderId="1" xfId="1" applyNumberFormat="1" applyFont="1" applyBorder="1" applyAlignment="1">
      <alignment horizontal="center" vertical="top" wrapText="1"/>
    </xf>
    <xf numFmtId="0" fontId="0" fillId="0" borderId="1" xfId="1" applyFont="1" applyBorder="1" applyAlignment="1">
      <alignment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77" fontId="10" fillId="0" borderId="1" xfId="0" applyNumberFormat="1" applyFont="1" applyBorder="1" applyAlignment="1">
      <alignment horizontal="right" vertical="top" wrapText="1"/>
    </xf>
    <xf numFmtId="49" fontId="0" fillId="0" borderId="1" xfId="1" applyNumberFormat="1" applyFont="1" applyBorder="1" applyAlignment="1">
      <alignment horizontal="left"/>
    </xf>
    <xf numFmtId="0" fontId="10" fillId="0" borderId="5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49" fontId="0" fillId="4" borderId="1" xfId="1" quotePrefix="1" applyNumberFormat="1" applyFont="1" applyFill="1" applyBorder="1" applyAlignment="1">
      <alignment horizontal="left"/>
    </xf>
    <xf numFmtId="16" fontId="0" fillId="0" borderId="0" xfId="0" applyNumberFormat="1" applyFill="1"/>
    <xf numFmtId="16" fontId="0" fillId="0" borderId="0" xfId="0" applyNumberFormat="1" applyFont="1" applyFill="1"/>
    <xf numFmtId="167" fontId="8" fillId="4" borderId="6" xfId="1" applyNumberFormat="1" applyFill="1" applyBorder="1" applyAlignment="1">
      <alignment horizontal="right"/>
    </xf>
    <xf numFmtId="167" fontId="8" fillId="0" borderId="1" xfId="1" applyNumberFormat="1" applyFill="1" applyBorder="1"/>
    <xf numFmtId="0" fontId="0" fillId="0" borderId="1" xfId="1" applyFont="1" applyFill="1" applyBorder="1" applyAlignment="1">
      <alignment horizontal="left"/>
    </xf>
    <xf numFmtId="0" fontId="8" fillId="4" borderId="1" xfId="1" applyFont="1" applyFill="1" applyBorder="1" applyAlignment="1">
      <alignment horizontal="left" vertical="top" wrapText="1"/>
    </xf>
    <xf numFmtId="171" fontId="8" fillId="4" borderId="6" xfId="1" applyNumberFormat="1" applyFont="1" applyFill="1" applyBorder="1" applyAlignment="1">
      <alignment horizontal="right" vertical="top" wrapText="1"/>
    </xf>
    <xf numFmtId="165" fontId="9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</cellXfs>
  <cellStyles count="6">
    <cellStyle name="Default 1" xfId="1" xr:uid="{00000000-0005-0000-0000-000000000000}"/>
    <cellStyle name="Heading 1" xfId="2" builtinId="16" customBuiltin="1"/>
    <cellStyle name="Heading1 1" xfId="3" xr:uid="{00000000-0005-0000-0000-000002000000}"/>
    <cellStyle name="Normal" xfId="0" builtinId="0"/>
    <cellStyle name="Result 1" xfId="4" xr:uid="{00000000-0005-0000-0000-000004000000}"/>
    <cellStyle name="Result2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304800</xdr:rowOff>
    </xdr:from>
    <xdr:to>
      <xdr:col>10</xdr:col>
      <xdr:colOff>403860</xdr:colOff>
      <xdr:row>5</xdr:row>
      <xdr:rowOff>160020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9860280" y="304800"/>
          <a:ext cx="22860" cy="8458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381000</xdr:colOff>
      <xdr:row>0</xdr:row>
      <xdr:rowOff>304800</xdr:rowOff>
    </xdr:from>
    <xdr:to>
      <xdr:col>17</xdr:col>
      <xdr:colOff>403860</xdr:colOff>
      <xdr:row>5</xdr:row>
      <xdr:rowOff>160020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10111740" y="304800"/>
          <a:ext cx="22860" cy="8458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4</xdr:row>
      <xdr:rowOff>198120</xdr:rowOff>
    </xdr:from>
    <xdr:to>
      <xdr:col>5</xdr:col>
      <xdr:colOff>876300</xdr:colOff>
      <xdr:row>7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 flipH="1">
          <a:off x="6545580" y="967740"/>
          <a:ext cx="822960" cy="5867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45720</xdr:colOff>
      <xdr:row>10</xdr:row>
      <xdr:rowOff>91440</xdr:rowOff>
    </xdr:from>
    <xdr:to>
      <xdr:col>5</xdr:col>
      <xdr:colOff>853440</xdr:colOff>
      <xdr:row>10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 bwMode="auto">
        <a:xfrm flipH="1" flipV="1">
          <a:off x="6400800" y="207264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15240</xdr:colOff>
      <xdr:row>10</xdr:row>
      <xdr:rowOff>83820</xdr:rowOff>
    </xdr:from>
    <xdr:to>
      <xdr:col>5</xdr:col>
      <xdr:colOff>861060</xdr:colOff>
      <xdr:row>15</xdr:row>
      <xdr:rowOff>60960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 bwMode="auto">
        <a:xfrm flipH="1">
          <a:off x="6370320" y="2065020"/>
          <a:ext cx="845820" cy="8153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83820</xdr:colOff>
      <xdr:row>11</xdr:row>
      <xdr:rowOff>45720</xdr:rowOff>
    </xdr:from>
    <xdr:to>
      <xdr:col>6</xdr:col>
      <xdr:colOff>320040</xdr:colOff>
      <xdr:row>17</xdr:row>
      <xdr:rowOff>129540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 bwMode="auto">
        <a:xfrm flipH="1">
          <a:off x="6438900" y="2194560"/>
          <a:ext cx="1120140" cy="108966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53340</xdr:colOff>
      <xdr:row>11</xdr:row>
      <xdr:rowOff>76200</xdr:rowOff>
    </xdr:from>
    <xdr:to>
      <xdr:col>6</xdr:col>
      <xdr:colOff>312420</xdr:colOff>
      <xdr:row>27</xdr:row>
      <xdr:rowOff>106680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 bwMode="auto">
        <a:xfrm flipH="1">
          <a:off x="6408420" y="2225040"/>
          <a:ext cx="1143000" cy="27051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106680</xdr:colOff>
      <xdr:row>4</xdr:row>
      <xdr:rowOff>182880</xdr:rowOff>
    </xdr:from>
    <xdr:to>
      <xdr:col>6</xdr:col>
      <xdr:colOff>30480</xdr:colOff>
      <xdr:row>4</xdr:row>
      <xdr:rowOff>190500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 bwMode="auto">
        <a:xfrm flipH="1" flipV="1">
          <a:off x="6598920" y="95250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64770</xdr:colOff>
      <xdr:row>30</xdr:row>
      <xdr:rowOff>80010</xdr:rowOff>
    </xdr:from>
    <xdr:to>
      <xdr:col>6</xdr:col>
      <xdr:colOff>15240</xdr:colOff>
      <xdr:row>30</xdr:row>
      <xdr:rowOff>87630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 bwMode="auto">
        <a:xfrm flipH="1" flipV="1">
          <a:off x="6370320" y="5490210"/>
          <a:ext cx="807720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opLeftCell="A4" workbookViewId="0">
      <selection activeCell="D12" sqref="D12"/>
    </sheetView>
  </sheetViews>
  <sheetFormatPr defaultColWidth="11.5703125" defaultRowHeight="12.95" customHeight="1" x14ac:dyDescent="0.2"/>
  <cols>
    <col min="1" max="1" width="3.7109375" style="147" customWidth="1"/>
    <col min="2" max="2" width="14" style="102" customWidth="1"/>
    <col min="3" max="3" width="38.85546875" style="69" customWidth="1"/>
    <col min="4" max="4" width="14" style="69" customWidth="1"/>
    <col min="5" max="5" width="10.42578125" style="69" customWidth="1"/>
    <col min="6" max="7" width="13.28515625" style="69" customWidth="1"/>
    <col min="8" max="8" width="14.85546875" style="69" customWidth="1"/>
    <col min="9" max="9" width="11.140625" style="69" customWidth="1"/>
    <col min="10" max="10" width="11.140625" style="147" customWidth="1"/>
    <col min="11" max="12" width="11.5703125" style="69"/>
    <col min="13" max="13" width="11.5703125" style="147"/>
    <col min="14" max="16384" width="11.5703125" style="69"/>
  </cols>
  <sheetData>
    <row r="1" spans="1:14" ht="25.35" customHeight="1" x14ac:dyDescent="0.25">
      <c r="B1" s="218" t="s">
        <v>0</v>
      </c>
      <c r="C1" s="218"/>
      <c r="D1" s="68"/>
      <c r="F1" s="70"/>
      <c r="K1" s="69" t="s">
        <v>47</v>
      </c>
    </row>
    <row r="2" spans="1:14" ht="12.75" x14ac:dyDescent="0.2">
      <c r="B2" s="71"/>
      <c r="D2" s="68"/>
      <c r="F2" s="70"/>
    </row>
    <row r="3" spans="1:14" ht="13.35" customHeight="1" x14ac:dyDescent="0.2">
      <c r="B3" s="219" t="s">
        <v>59</v>
      </c>
      <c r="C3" s="220"/>
      <c r="D3" s="68"/>
      <c r="F3" s="70"/>
    </row>
    <row r="4" spans="1:14" ht="12.75" x14ac:dyDescent="0.2">
      <c r="B4" s="71"/>
      <c r="D4" s="68"/>
      <c r="F4" s="70"/>
    </row>
    <row r="5" spans="1:14" ht="12.75" x14ac:dyDescent="0.2">
      <c r="B5" s="72" t="s">
        <v>1</v>
      </c>
      <c r="D5" s="68"/>
      <c r="F5" s="70"/>
    </row>
    <row r="6" spans="1:14" ht="12.75" x14ac:dyDescent="0.2">
      <c r="B6" s="71"/>
      <c r="D6" s="68"/>
      <c r="F6" s="70"/>
    </row>
    <row r="7" spans="1:14" s="78" customFormat="1" ht="38.25" x14ac:dyDescent="0.2">
      <c r="A7" s="146"/>
      <c r="B7" s="73" t="s">
        <v>40</v>
      </c>
      <c r="C7" s="74" t="s">
        <v>3</v>
      </c>
      <c r="D7" s="75" t="s">
        <v>4</v>
      </c>
      <c r="E7" s="122" t="s">
        <v>5</v>
      </c>
      <c r="F7" s="77" t="s">
        <v>49</v>
      </c>
      <c r="G7" s="76" t="s">
        <v>6</v>
      </c>
      <c r="H7" s="76" t="s">
        <v>7</v>
      </c>
      <c r="I7" s="82"/>
      <c r="J7" s="141" t="s">
        <v>48</v>
      </c>
      <c r="K7" s="78" t="s">
        <v>41</v>
      </c>
      <c r="M7" s="146" t="s">
        <v>50</v>
      </c>
    </row>
    <row r="8" spans="1:14" s="78" customFormat="1" ht="12.75" x14ac:dyDescent="0.2">
      <c r="A8" s="146"/>
      <c r="B8" s="202" t="s">
        <v>81</v>
      </c>
      <c r="C8" s="203" t="s">
        <v>82</v>
      </c>
      <c r="D8" s="200">
        <v>2420.5</v>
      </c>
      <c r="E8" s="208"/>
      <c r="F8" s="201"/>
      <c r="G8" s="206">
        <v>2420.5</v>
      </c>
      <c r="H8" s="76"/>
      <c r="I8" s="82"/>
      <c r="J8" s="204" t="s">
        <v>58</v>
      </c>
      <c r="K8" s="205" t="s">
        <v>81</v>
      </c>
      <c r="M8" s="146"/>
    </row>
    <row r="9" spans="1:14" s="78" customFormat="1" ht="12.75" x14ac:dyDescent="0.2">
      <c r="A9" s="146"/>
      <c r="B9" s="202" t="s">
        <v>79</v>
      </c>
      <c r="C9" s="203" t="s">
        <v>60</v>
      </c>
      <c r="D9" s="75">
        <v>241</v>
      </c>
      <c r="E9" s="209"/>
      <c r="F9" s="201"/>
      <c r="G9" s="76"/>
      <c r="H9" s="206">
        <v>241</v>
      </c>
      <c r="I9" s="82"/>
      <c r="J9" s="204" t="s">
        <v>58</v>
      </c>
      <c r="K9" s="205" t="s">
        <v>79</v>
      </c>
      <c r="M9" s="146"/>
    </row>
    <row r="10" spans="1:14" ht="12.75" x14ac:dyDescent="0.2">
      <c r="A10" s="147" t="str">
        <f>IF(J10="Y",J10&amp;M10,"")</f>
        <v/>
      </c>
      <c r="B10" s="106" t="s">
        <v>112</v>
      </c>
      <c r="C10" s="105" t="s">
        <v>61</v>
      </c>
      <c r="D10" s="108">
        <v>254</v>
      </c>
      <c r="E10" s="124"/>
      <c r="F10" s="121"/>
      <c r="G10" s="82"/>
      <c r="H10" s="82">
        <v>254</v>
      </c>
      <c r="I10" s="82"/>
      <c r="J10" s="161" t="s">
        <v>58</v>
      </c>
      <c r="K10" s="156" t="s">
        <v>112</v>
      </c>
      <c r="M10" s="147">
        <f>COUNTIF($J$7:J10,"Y")</f>
        <v>0</v>
      </c>
    </row>
    <row r="11" spans="1:14" ht="12.75" x14ac:dyDescent="0.2">
      <c r="A11" s="147" t="str">
        <f t="shared" ref="A11:A36" si="0">IF(J11="Y",J11&amp;M11,"")</f>
        <v/>
      </c>
      <c r="B11" s="106" t="s">
        <v>113</v>
      </c>
      <c r="C11" s="105" t="s">
        <v>114</v>
      </c>
      <c r="D11" s="83">
        <v>2420.5</v>
      </c>
      <c r="E11" s="123"/>
      <c r="F11" s="81"/>
      <c r="G11" s="82">
        <v>2420.5</v>
      </c>
      <c r="H11" s="82"/>
      <c r="I11" s="82"/>
      <c r="J11" s="161" t="s">
        <v>58</v>
      </c>
      <c r="K11" s="156" t="s">
        <v>115</v>
      </c>
      <c r="M11" s="147">
        <f>COUNTIF($J$7:J11,"Y")</f>
        <v>0</v>
      </c>
      <c r="N11" s="120"/>
    </row>
    <row r="12" spans="1:14" ht="12.75" x14ac:dyDescent="0.2">
      <c r="A12" s="147" t="str">
        <f t="shared" si="0"/>
        <v/>
      </c>
      <c r="B12" s="106" t="s">
        <v>116</v>
      </c>
      <c r="C12" s="105" t="s">
        <v>117</v>
      </c>
      <c r="D12" s="83">
        <v>500</v>
      </c>
      <c r="E12" s="84"/>
      <c r="F12" s="81"/>
      <c r="G12" s="82"/>
      <c r="H12" s="82">
        <v>500</v>
      </c>
      <c r="I12" s="82"/>
      <c r="J12" s="161" t="s">
        <v>58</v>
      </c>
      <c r="K12" s="211" t="s">
        <v>116</v>
      </c>
      <c r="M12" s="147">
        <f>COUNTIF($J$7:J12,"Y")</f>
        <v>0</v>
      </c>
    </row>
    <row r="13" spans="1:14" ht="12.75" x14ac:dyDescent="0.2">
      <c r="A13" s="147" t="str">
        <f t="shared" si="0"/>
        <v/>
      </c>
      <c r="B13" s="173" t="s">
        <v>126</v>
      </c>
      <c r="C13" s="174" t="s">
        <v>127</v>
      </c>
      <c r="D13" s="175">
        <v>640</v>
      </c>
      <c r="E13" s="84"/>
      <c r="F13" s="82"/>
      <c r="G13" s="82"/>
      <c r="H13" s="82">
        <v>640</v>
      </c>
      <c r="I13" s="82"/>
      <c r="J13" s="161" t="s">
        <v>58</v>
      </c>
      <c r="K13" s="156" t="s">
        <v>126</v>
      </c>
      <c r="M13" s="147">
        <f>COUNTIF($J$7:J13,"Y")</f>
        <v>0</v>
      </c>
    </row>
    <row r="14" spans="1:14" ht="12.75" x14ac:dyDescent="0.2">
      <c r="A14" s="147" t="str">
        <f t="shared" si="0"/>
        <v/>
      </c>
      <c r="B14" s="163" t="s">
        <v>166</v>
      </c>
      <c r="C14" s="105" t="s">
        <v>167</v>
      </c>
      <c r="D14" s="83">
        <v>640</v>
      </c>
      <c r="E14" s="84"/>
      <c r="F14" s="82"/>
      <c r="G14" s="82"/>
      <c r="H14" s="82">
        <v>640</v>
      </c>
      <c r="I14" s="82"/>
      <c r="J14" s="161" t="s">
        <v>58</v>
      </c>
      <c r="K14" s="211" t="s">
        <v>166</v>
      </c>
      <c r="M14" s="147">
        <f>COUNTIF($J$7:J14,"Y")</f>
        <v>0</v>
      </c>
    </row>
    <row r="15" spans="1:14" ht="12.75" x14ac:dyDescent="0.2">
      <c r="A15" s="147" t="str">
        <f t="shared" si="0"/>
        <v/>
      </c>
      <c r="B15" s="104" t="s">
        <v>170</v>
      </c>
      <c r="C15" s="105" t="s">
        <v>173</v>
      </c>
      <c r="D15" s="83">
        <v>232.5</v>
      </c>
      <c r="E15" s="84"/>
      <c r="F15" s="81"/>
      <c r="G15" s="82"/>
      <c r="H15" s="82">
        <v>232.5</v>
      </c>
      <c r="I15" s="82"/>
      <c r="J15" s="161" t="s">
        <v>58</v>
      </c>
      <c r="K15" s="212" t="s">
        <v>170</v>
      </c>
      <c r="M15" s="147">
        <f>COUNTIF($J$7:J15,"Y")</f>
        <v>0</v>
      </c>
    </row>
    <row r="16" spans="1:14" ht="12.75" x14ac:dyDescent="0.2">
      <c r="A16" s="147" t="str">
        <f t="shared" si="0"/>
        <v/>
      </c>
      <c r="B16" s="104"/>
      <c r="C16" s="105"/>
      <c r="D16" s="83"/>
      <c r="E16" s="84"/>
      <c r="F16" s="81"/>
      <c r="G16" s="82"/>
      <c r="H16" s="82"/>
      <c r="I16" s="82"/>
      <c r="J16" s="161" t="str">
        <f>IF(ISBLANK(B16),"",IF(K16&lt;Rec!$E$2,"Y","N"))</f>
        <v/>
      </c>
      <c r="M16" s="147">
        <f>COUNTIF($J$7:J16,"Y")</f>
        <v>0</v>
      </c>
    </row>
    <row r="17" spans="1:13" ht="12.75" x14ac:dyDescent="0.2">
      <c r="A17" s="147" t="str">
        <f t="shared" si="0"/>
        <v/>
      </c>
      <c r="B17" s="106"/>
      <c r="C17" s="107"/>
      <c r="D17" s="83"/>
      <c r="E17" s="84"/>
      <c r="F17" s="81"/>
      <c r="G17" s="82"/>
      <c r="H17" s="82"/>
      <c r="I17" s="82"/>
      <c r="J17" s="161" t="str">
        <f>IF(ISBLANK(B17),"",IF(K17&lt;Rec!$E$2,"Y","N"))</f>
        <v/>
      </c>
      <c r="M17" s="147">
        <f>COUNTIF($J$7:J17,"Y")</f>
        <v>0</v>
      </c>
    </row>
    <row r="18" spans="1:13" ht="12.75" x14ac:dyDescent="0.2">
      <c r="A18" s="147" t="str">
        <f t="shared" si="0"/>
        <v/>
      </c>
      <c r="B18" s="79"/>
      <c r="C18" s="80"/>
      <c r="D18" s="83"/>
      <c r="E18" s="84"/>
      <c r="F18" s="81"/>
      <c r="G18" s="82"/>
      <c r="H18" s="82"/>
      <c r="I18" s="82"/>
      <c r="J18" s="161" t="str">
        <f>IF(ISBLANK(B18),"",IF(K18&lt;Rec!$E$2,"Y","N"))</f>
        <v/>
      </c>
      <c r="M18" s="147">
        <f>COUNTIF($J$7:J18,"Y")</f>
        <v>0</v>
      </c>
    </row>
    <row r="19" spans="1:13" ht="12.75" x14ac:dyDescent="0.2">
      <c r="A19" s="147" t="str">
        <f t="shared" si="0"/>
        <v/>
      </c>
      <c r="B19" s="79"/>
      <c r="C19" s="80"/>
      <c r="D19" s="83"/>
      <c r="E19" s="84"/>
      <c r="F19" s="81" t="s">
        <v>8</v>
      </c>
      <c r="G19" s="82"/>
      <c r="H19" s="82"/>
      <c r="I19" s="82"/>
      <c r="J19" s="161" t="str">
        <f>IF(ISBLANK(B19),"",IF(K19&lt;Rec!$E$2,"Y","N"))</f>
        <v/>
      </c>
      <c r="M19" s="147">
        <f>COUNTIF($J$7:J19,"Y")</f>
        <v>0</v>
      </c>
    </row>
    <row r="20" spans="1:13" ht="12.75" x14ac:dyDescent="0.2">
      <c r="A20" s="147" t="str">
        <f t="shared" si="0"/>
        <v/>
      </c>
      <c r="B20" s="79"/>
      <c r="C20" s="80"/>
      <c r="D20" s="84"/>
      <c r="E20" s="84"/>
      <c r="F20" s="81"/>
      <c r="G20" s="82"/>
      <c r="H20" s="82"/>
      <c r="I20" s="82"/>
      <c r="J20" s="161" t="str">
        <f>IF(ISBLANK(B20),"",IF(K20&lt;Rec!$E$2,"Y","N"))</f>
        <v/>
      </c>
      <c r="M20" s="147">
        <f>COUNTIF($J$7:J20,"Y")</f>
        <v>0</v>
      </c>
    </row>
    <row r="21" spans="1:13" ht="12.75" x14ac:dyDescent="0.2">
      <c r="A21" s="147" t="str">
        <f t="shared" si="0"/>
        <v/>
      </c>
      <c r="B21" s="79"/>
      <c r="C21" s="80"/>
      <c r="D21" s="84"/>
      <c r="E21" s="84"/>
      <c r="F21" s="81"/>
      <c r="G21" s="82"/>
      <c r="H21" s="82"/>
      <c r="I21" s="82"/>
      <c r="J21" s="161" t="str">
        <f>IF(ISBLANK(B21),"",IF(K21&lt;Rec!$E$2,"Y","N"))</f>
        <v/>
      </c>
      <c r="M21" s="147">
        <f>COUNTIF($J$7:J21,"Y")</f>
        <v>0</v>
      </c>
    </row>
    <row r="22" spans="1:13" ht="12.75" x14ac:dyDescent="0.2">
      <c r="A22" s="147" t="str">
        <f t="shared" si="0"/>
        <v/>
      </c>
      <c r="B22" s="79"/>
      <c r="C22" s="80"/>
      <c r="D22" s="84"/>
      <c r="E22" s="84"/>
      <c r="F22" s="81"/>
      <c r="G22" s="82"/>
      <c r="H22" s="82"/>
      <c r="I22" s="82"/>
      <c r="J22" s="161" t="str">
        <f>IF(ISBLANK(B22),"",IF(K22&lt;Rec!$E$2,"Y","N"))</f>
        <v/>
      </c>
      <c r="M22" s="147">
        <f>COUNTIF($J$7:J22,"Y")</f>
        <v>0</v>
      </c>
    </row>
    <row r="23" spans="1:13" ht="12.75" x14ac:dyDescent="0.2">
      <c r="A23" s="147" t="str">
        <f t="shared" si="0"/>
        <v/>
      </c>
      <c r="B23" s="79"/>
      <c r="C23" s="80"/>
      <c r="D23" s="84"/>
      <c r="E23" s="84"/>
      <c r="F23" s="81"/>
      <c r="G23" s="82"/>
      <c r="H23" s="82"/>
      <c r="I23" s="82"/>
      <c r="J23" s="161" t="str">
        <f>IF(ISBLANK(B23),"",IF(K23&lt;Rec!$E$2,"Y","N"))</f>
        <v/>
      </c>
      <c r="M23" s="147">
        <f>COUNTIF($J$7:J23,"Y")</f>
        <v>0</v>
      </c>
    </row>
    <row r="24" spans="1:13" ht="12.75" x14ac:dyDescent="0.2">
      <c r="A24" s="147" t="str">
        <f t="shared" si="0"/>
        <v/>
      </c>
      <c r="B24" s="79"/>
      <c r="C24" s="80"/>
      <c r="D24" s="84"/>
      <c r="E24" s="84"/>
      <c r="F24" s="81"/>
      <c r="G24" s="82"/>
      <c r="H24" s="82"/>
      <c r="I24" s="82"/>
      <c r="J24" s="161" t="str">
        <f>IF(ISBLANK(B24),"",IF(K24&lt;Rec!$E$2,"Y","N"))</f>
        <v/>
      </c>
      <c r="M24" s="147">
        <f>COUNTIF($J$7:J24,"Y")</f>
        <v>0</v>
      </c>
    </row>
    <row r="25" spans="1:13" ht="12.75" x14ac:dyDescent="0.2">
      <c r="A25" s="147" t="str">
        <f t="shared" si="0"/>
        <v/>
      </c>
      <c r="B25" s="79"/>
      <c r="C25" s="80"/>
      <c r="D25" s="84"/>
      <c r="E25" s="84"/>
      <c r="F25" s="81"/>
      <c r="G25" s="82"/>
      <c r="H25" s="82"/>
      <c r="I25" s="82"/>
      <c r="J25" s="161" t="str">
        <f>IF(ISBLANK(B25),"",IF(K25&lt;Rec!$E$2,"Y","N"))</f>
        <v/>
      </c>
      <c r="M25" s="147">
        <f>COUNTIF($J$7:J25,"Y")</f>
        <v>0</v>
      </c>
    </row>
    <row r="26" spans="1:13" ht="12.75" x14ac:dyDescent="0.2">
      <c r="A26" s="147" t="str">
        <f t="shared" si="0"/>
        <v/>
      </c>
      <c r="B26" s="79"/>
      <c r="C26" s="80"/>
      <c r="D26" s="84"/>
      <c r="E26" s="84"/>
      <c r="F26" s="81"/>
      <c r="G26" s="82"/>
      <c r="H26" s="82"/>
      <c r="I26" s="82"/>
      <c r="J26" s="161" t="str">
        <f>IF(ISBLANK(B26),"",IF(K26&lt;Rec!$E$2,"Y","N"))</f>
        <v/>
      </c>
      <c r="M26" s="147">
        <f>COUNTIF($J$7:J26,"Y")</f>
        <v>0</v>
      </c>
    </row>
    <row r="27" spans="1:13" ht="12.75" x14ac:dyDescent="0.2">
      <c r="A27" s="147" t="str">
        <f t="shared" si="0"/>
        <v/>
      </c>
      <c r="B27" s="79"/>
      <c r="C27" s="80"/>
      <c r="D27" s="84"/>
      <c r="E27" s="84"/>
      <c r="F27" s="81"/>
      <c r="G27" s="82"/>
      <c r="H27" s="82"/>
      <c r="I27" s="82"/>
      <c r="J27" s="161" t="str">
        <f>IF(ISBLANK(B27),"",IF(K27&lt;Rec!$E$2,"Y","N"))</f>
        <v/>
      </c>
      <c r="M27" s="147">
        <f>COUNTIF($J$7:J27,"Y")</f>
        <v>0</v>
      </c>
    </row>
    <row r="28" spans="1:13" ht="12.75" x14ac:dyDescent="0.2">
      <c r="A28" s="147" t="str">
        <f t="shared" si="0"/>
        <v/>
      </c>
      <c r="B28" s="79"/>
      <c r="C28" s="80"/>
      <c r="D28" s="84"/>
      <c r="E28" s="84"/>
      <c r="F28" s="81"/>
      <c r="G28" s="82"/>
      <c r="H28" s="82"/>
      <c r="I28" s="82"/>
      <c r="J28" s="161" t="str">
        <f>IF(ISBLANK(B28),"",IF(K28&lt;Rec!$E$2,"Y","N"))</f>
        <v/>
      </c>
      <c r="M28" s="147">
        <f>COUNTIF($J$7:J28,"Y")</f>
        <v>0</v>
      </c>
    </row>
    <row r="29" spans="1:13" ht="12.75" x14ac:dyDescent="0.2">
      <c r="A29" s="147" t="str">
        <f t="shared" si="0"/>
        <v/>
      </c>
      <c r="B29" s="79"/>
      <c r="C29" s="80"/>
      <c r="D29" s="83"/>
      <c r="E29" s="84"/>
      <c r="F29" s="81"/>
      <c r="G29" s="82"/>
      <c r="H29" s="82"/>
      <c r="I29" s="82"/>
      <c r="J29" s="161" t="str">
        <f>IF(ISBLANK(B29),"",IF(K29&lt;Rec!$E$2,"Y","N"))</f>
        <v/>
      </c>
      <c r="M29" s="147">
        <f>COUNTIF($J$7:J29,"Y")</f>
        <v>0</v>
      </c>
    </row>
    <row r="30" spans="1:13" ht="12.75" x14ac:dyDescent="0.2">
      <c r="A30" s="147" t="str">
        <f t="shared" si="0"/>
        <v/>
      </c>
      <c r="B30" s="79"/>
      <c r="C30" s="80"/>
      <c r="D30" s="86"/>
      <c r="E30" s="86"/>
      <c r="F30" s="81"/>
      <c r="G30" s="82"/>
      <c r="H30" s="82"/>
      <c r="I30" s="82"/>
      <c r="J30" s="161" t="str">
        <f>IF(ISBLANK(B30),"",IF(K30&lt;Rec!$E$2,"Y","N"))</f>
        <v/>
      </c>
      <c r="M30" s="147">
        <f>COUNTIF($J$7:J30,"Y")</f>
        <v>0</v>
      </c>
    </row>
    <row r="31" spans="1:13" ht="12.75" customHeight="1" x14ac:dyDescent="0.2">
      <c r="A31" s="147" t="str">
        <f t="shared" si="0"/>
        <v/>
      </c>
      <c r="B31" s="79"/>
      <c r="C31" s="80"/>
      <c r="D31" s="83"/>
      <c r="E31" s="84"/>
      <c r="F31" s="81"/>
      <c r="G31" s="82"/>
      <c r="H31" s="82"/>
      <c r="I31" s="82"/>
      <c r="J31" s="161" t="str">
        <f>IF(ISBLANK(B31),"",IF(K31&lt;Rec!$E$2,"Y","N"))</f>
        <v/>
      </c>
      <c r="M31" s="147">
        <f>COUNTIF($J$7:J31,"Y")</f>
        <v>0</v>
      </c>
    </row>
    <row r="32" spans="1:13" ht="12.75" customHeight="1" x14ac:dyDescent="0.2">
      <c r="A32" s="147" t="str">
        <f t="shared" si="0"/>
        <v/>
      </c>
      <c r="B32" s="79"/>
      <c r="C32" s="80"/>
      <c r="D32" s="86"/>
      <c r="E32" s="86"/>
      <c r="F32" s="86"/>
      <c r="G32" s="86"/>
      <c r="H32" s="86"/>
      <c r="I32" s="82"/>
      <c r="J32" s="161" t="str">
        <f>IF(ISBLANK(B32),"",IF(K32&lt;Rec!$E$2,"Y","N"))</f>
        <v/>
      </c>
      <c r="M32" s="147">
        <f>COUNTIF($J$7:J32,"Y")</f>
        <v>0</v>
      </c>
    </row>
    <row r="33" spans="1:13" ht="12.75" customHeight="1" x14ac:dyDescent="0.2">
      <c r="A33" s="147" t="str">
        <f t="shared" si="0"/>
        <v/>
      </c>
      <c r="B33" s="85"/>
      <c r="C33" s="80"/>
      <c r="D33" s="83"/>
      <c r="E33" s="84"/>
      <c r="F33" s="87"/>
      <c r="G33" s="82"/>
      <c r="H33" s="82"/>
      <c r="I33" s="82"/>
      <c r="J33" s="161" t="str">
        <f>IF(ISBLANK(B33),"",IF(K33&lt;Rec!$E$2,"Y","N"))</f>
        <v/>
      </c>
      <c r="M33" s="147">
        <f>COUNTIF($J$7:J33,"Y")</f>
        <v>0</v>
      </c>
    </row>
    <row r="34" spans="1:13" ht="12.75" customHeight="1" x14ac:dyDescent="0.2">
      <c r="A34" s="147" t="str">
        <f t="shared" si="0"/>
        <v/>
      </c>
      <c r="B34" s="79"/>
      <c r="C34" s="80"/>
      <c r="D34" s="83"/>
      <c r="E34" s="84"/>
      <c r="F34" s="81"/>
      <c r="G34" s="82"/>
      <c r="H34" s="82"/>
      <c r="I34" s="82"/>
      <c r="J34" s="161" t="str">
        <f>IF(ISBLANK(B34),"",IF(K34&lt;Rec!$E$2,"Y","N"))</f>
        <v/>
      </c>
      <c r="M34" s="147">
        <f>COUNTIF($J$7:J34,"Y")</f>
        <v>0</v>
      </c>
    </row>
    <row r="35" spans="1:13" ht="12.75" customHeight="1" x14ac:dyDescent="0.2">
      <c r="A35" s="147" t="str">
        <f t="shared" si="0"/>
        <v/>
      </c>
      <c r="B35" s="79"/>
      <c r="C35" s="80"/>
      <c r="D35" s="83"/>
      <c r="E35" s="84"/>
      <c r="F35" s="81"/>
      <c r="G35" s="82"/>
      <c r="H35" s="82"/>
      <c r="I35" s="82"/>
      <c r="J35" s="161" t="str">
        <f>IF(ISBLANK(B35),"",IF(K35&lt;Rec!$E$2,"Y","N"))</f>
        <v/>
      </c>
      <c r="M35" s="147">
        <f>COUNTIF($J$7:J35,"Y")</f>
        <v>0</v>
      </c>
    </row>
    <row r="36" spans="1:13" ht="12.75" x14ac:dyDescent="0.2">
      <c r="A36" s="147" t="str">
        <f t="shared" si="0"/>
        <v/>
      </c>
      <c r="B36" s="79"/>
      <c r="C36" s="88"/>
      <c r="D36" s="83"/>
      <c r="E36" s="84"/>
      <c r="F36" s="81"/>
      <c r="G36" s="82"/>
      <c r="H36" s="82"/>
      <c r="I36" s="82"/>
      <c r="J36" s="161" t="str">
        <f>IF(ISBLANK(B36),"",IF(K36&lt;Rec!$E$2,"Y","N"))</f>
        <v/>
      </c>
      <c r="M36" s="147">
        <f>COUNTIF($J$7:J36,"Y")</f>
        <v>0</v>
      </c>
    </row>
    <row r="37" spans="1:13" ht="12.75" x14ac:dyDescent="0.2">
      <c r="B37" s="85" t="s">
        <v>9</v>
      </c>
      <c r="C37" s="88"/>
      <c r="D37" s="90">
        <f>SUM(D8:D36)</f>
        <v>7348.5</v>
      </c>
      <c r="E37" s="90">
        <f t="shared" ref="E37:F37" si="1">SUM(E10:E36)</f>
        <v>0</v>
      </c>
      <c r="F37" s="90">
        <f t="shared" si="1"/>
        <v>0</v>
      </c>
      <c r="G37" s="90">
        <f>SUM(G8:G36)</f>
        <v>4841</v>
      </c>
      <c r="H37" s="90">
        <f>SUM(H9:H36)</f>
        <v>2507.5</v>
      </c>
      <c r="I37" s="90"/>
      <c r="J37" s="151"/>
    </row>
    <row r="38" spans="1:13" ht="12.75" x14ac:dyDescent="0.2">
      <c r="B38" s="79"/>
      <c r="C38" s="88"/>
      <c r="D38" s="91"/>
      <c r="E38" s="91"/>
      <c r="F38" s="92"/>
      <c r="G38" s="93"/>
      <c r="H38" s="93"/>
      <c r="I38" s="93"/>
      <c r="J38" s="152"/>
    </row>
    <row r="39" spans="1:13" ht="12.75" customHeight="1" x14ac:dyDescent="0.2">
      <c r="B39" s="85"/>
      <c r="C39" s="88"/>
      <c r="D39" s="94"/>
      <c r="E39" s="94"/>
      <c r="F39" s="95"/>
      <c r="G39" s="88"/>
      <c r="H39" s="88"/>
      <c r="I39" s="88"/>
      <c r="J39" s="153"/>
    </row>
    <row r="40" spans="1:13" ht="12.75" x14ac:dyDescent="0.2">
      <c r="B40" s="79" t="s">
        <v>8</v>
      </c>
      <c r="C40" s="88"/>
      <c r="D40" s="94"/>
      <c r="E40" s="96"/>
      <c r="F40" s="97"/>
      <c r="G40" s="88"/>
      <c r="H40" s="88"/>
      <c r="I40" s="88"/>
      <c r="J40" s="153"/>
    </row>
    <row r="41" spans="1:13" s="101" customFormat="1" ht="12.75" x14ac:dyDescent="0.2">
      <c r="A41" s="150"/>
      <c r="B41" s="89"/>
      <c r="C41" s="98"/>
      <c r="D41" s="99"/>
      <c r="E41" s="99"/>
      <c r="F41" s="95"/>
      <c r="G41" s="100"/>
      <c r="H41" s="100"/>
      <c r="I41" s="100"/>
      <c r="J41" s="154"/>
      <c r="M41" s="150"/>
    </row>
    <row r="42" spans="1:13" ht="12.75" customHeight="1" x14ac:dyDescent="0.2">
      <c r="B42" s="71"/>
      <c r="D42" s="68"/>
      <c r="F42" s="70"/>
    </row>
    <row r="43" spans="1:13" ht="12.75" customHeight="1" x14ac:dyDescent="0.2">
      <c r="B43" s="71"/>
      <c r="D43" s="68"/>
      <c r="F43" s="70"/>
    </row>
    <row r="44" spans="1:13" ht="12.75" customHeight="1" x14ac:dyDescent="0.2">
      <c r="B44" s="71"/>
      <c r="D44" s="68"/>
      <c r="F44" s="70"/>
    </row>
    <row r="45" spans="1:13" ht="12.75" customHeight="1" x14ac:dyDescent="0.2">
      <c r="B45" s="71"/>
      <c r="D45" s="68"/>
      <c r="F45" s="70"/>
    </row>
    <row r="46" spans="1:13" ht="12.75" customHeight="1" x14ac:dyDescent="0.2">
      <c r="B46" s="71"/>
      <c r="D46" s="68"/>
      <c r="F46" s="70"/>
    </row>
    <row r="47" spans="1:13" ht="12.75" customHeight="1" x14ac:dyDescent="0.2">
      <c r="B47" s="71"/>
      <c r="D47" s="68"/>
      <c r="F47" s="70"/>
    </row>
    <row r="48" spans="1:13" ht="12.75" customHeight="1" x14ac:dyDescent="0.2">
      <c r="B48" s="71"/>
      <c r="D48" s="68"/>
      <c r="F48" s="70"/>
    </row>
    <row r="49" spans="2:6" ht="12.75" customHeight="1" x14ac:dyDescent="0.2">
      <c r="B49" s="71"/>
      <c r="D49" s="68"/>
      <c r="F49" s="70"/>
    </row>
    <row r="50" spans="2:6" ht="12.75" customHeight="1" x14ac:dyDescent="0.2">
      <c r="B50" s="71"/>
      <c r="D50" s="68"/>
      <c r="F50" s="70"/>
    </row>
    <row r="51" spans="2:6" ht="12.75" customHeight="1" x14ac:dyDescent="0.2">
      <c r="B51" s="71"/>
      <c r="D51" s="68"/>
      <c r="F51" s="70"/>
    </row>
    <row r="52" spans="2:6" ht="12.75" customHeight="1" x14ac:dyDescent="0.2">
      <c r="B52" s="71"/>
      <c r="D52" s="68"/>
      <c r="F52" s="70"/>
    </row>
    <row r="53" spans="2:6" ht="12.75" customHeight="1" x14ac:dyDescent="0.2">
      <c r="B53" s="71"/>
      <c r="D53" s="68"/>
      <c r="F53" s="70"/>
    </row>
    <row r="54" spans="2:6" ht="12.75" customHeight="1" x14ac:dyDescent="0.2">
      <c r="B54" s="71"/>
      <c r="D54" s="68"/>
      <c r="F54" s="70"/>
    </row>
    <row r="55" spans="2:6" ht="12.75" customHeight="1" x14ac:dyDescent="0.2">
      <c r="B55" s="71"/>
      <c r="D55" s="68"/>
      <c r="F55" s="70"/>
    </row>
    <row r="56" spans="2:6" ht="12.75" customHeight="1" x14ac:dyDescent="0.2">
      <c r="B56" s="71"/>
      <c r="D56" s="68"/>
      <c r="F56" s="70"/>
    </row>
    <row r="57" spans="2:6" ht="12.75" customHeight="1" x14ac:dyDescent="0.2">
      <c r="B57" s="71"/>
      <c r="D57" s="68"/>
      <c r="F57" s="70"/>
    </row>
    <row r="58" spans="2:6" ht="12.75" customHeight="1" x14ac:dyDescent="0.2">
      <c r="B58" s="71"/>
      <c r="D58" s="68"/>
      <c r="F58" s="70"/>
    </row>
    <row r="59" spans="2:6" ht="12.75" customHeight="1" x14ac:dyDescent="0.2">
      <c r="B59" s="71"/>
      <c r="D59" s="68"/>
      <c r="F59" s="70"/>
    </row>
    <row r="60" spans="2:6" ht="12.75" customHeight="1" x14ac:dyDescent="0.2">
      <c r="B60" s="71"/>
      <c r="D60" s="68"/>
      <c r="F60" s="70"/>
    </row>
    <row r="61" spans="2:6" ht="12.75" customHeight="1" x14ac:dyDescent="0.2">
      <c r="B61" s="71"/>
      <c r="D61" s="68"/>
      <c r="F61" s="70"/>
    </row>
    <row r="62" spans="2:6" ht="12.75" customHeight="1" x14ac:dyDescent="0.2">
      <c r="B62" s="71"/>
      <c r="D62" s="68"/>
      <c r="F62" s="70"/>
    </row>
    <row r="63" spans="2:6" ht="12.75" customHeight="1" x14ac:dyDescent="0.2">
      <c r="B63" s="71"/>
      <c r="D63" s="68"/>
      <c r="F63" s="70"/>
    </row>
    <row r="64" spans="2:6" ht="12.75" customHeight="1" x14ac:dyDescent="0.2">
      <c r="B64" s="71"/>
      <c r="D64" s="68"/>
      <c r="F64" s="70"/>
    </row>
    <row r="65" spans="2:6" ht="12.75" customHeight="1" x14ac:dyDescent="0.2">
      <c r="B65" s="71"/>
      <c r="D65" s="68"/>
      <c r="F65" s="70"/>
    </row>
    <row r="66" spans="2:6" ht="12.75" customHeight="1" x14ac:dyDescent="0.2">
      <c r="B66" s="71"/>
      <c r="D66" s="68"/>
      <c r="F66" s="70"/>
    </row>
    <row r="67" spans="2:6" ht="12.75" customHeight="1" x14ac:dyDescent="0.2">
      <c r="B67" s="71"/>
      <c r="D67" s="68"/>
      <c r="F67" s="70"/>
    </row>
    <row r="68" spans="2:6" ht="12.75" customHeight="1" x14ac:dyDescent="0.2">
      <c r="B68" s="71"/>
      <c r="D68" s="68"/>
      <c r="F68" s="70"/>
    </row>
    <row r="69" spans="2:6" ht="12.75" customHeight="1" x14ac:dyDescent="0.2">
      <c r="B69" s="71"/>
      <c r="D69" s="68"/>
      <c r="F69" s="70"/>
    </row>
    <row r="70" spans="2:6" ht="12.75" customHeight="1" x14ac:dyDescent="0.2">
      <c r="B70" s="71"/>
      <c r="D70" s="68"/>
      <c r="F70" s="70"/>
    </row>
    <row r="71" spans="2:6" ht="12.75" customHeight="1" x14ac:dyDescent="0.2">
      <c r="B71" s="71"/>
      <c r="D71" s="68"/>
      <c r="F71" s="70"/>
    </row>
    <row r="72" spans="2:6" ht="12.75" customHeight="1" x14ac:dyDescent="0.2">
      <c r="B72" s="71"/>
      <c r="D72" s="68"/>
      <c r="F72" s="70"/>
    </row>
    <row r="73" spans="2:6" ht="12.75" customHeight="1" x14ac:dyDescent="0.2">
      <c r="B73" s="71"/>
      <c r="D73" s="68"/>
      <c r="F73" s="70"/>
    </row>
    <row r="74" spans="2:6" ht="12.75" customHeight="1" x14ac:dyDescent="0.2">
      <c r="B74" s="71"/>
      <c r="D74" s="68"/>
      <c r="F74" s="70"/>
    </row>
    <row r="75" spans="2:6" ht="12.75" customHeight="1" x14ac:dyDescent="0.2">
      <c r="B75" s="71"/>
      <c r="D75" s="68"/>
      <c r="F75" s="70"/>
    </row>
    <row r="76" spans="2:6" ht="12.75" customHeight="1" x14ac:dyDescent="0.2">
      <c r="B76" s="71"/>
      <c r="D76" s="68"/>
      <c r="F76" s="70"/>
    </row>
    <row r="77" spans="2:6" ht="12.75" customHeight="1" x14ac:dyDescent="0.2">
      <c r="B77" s="71"/>
      <c r="D77" s="68"/>
      <c r="F77" s="70"/>
    </row>
    <row r="78" spans="2:6" ht="12.75" customHeight="1" x14ac:dyDescent="0.2">
      <c r="B78" s="71"/>
      <c r="D78" s="68"/>
      <c r="F78" s="70"/>
    </row>
    <row r="79" spans="2:6" ht="12.75" customHeight="1" x14ac:dyDescent="0.2">
      <c r="B79" s="71"/>
      <c r="D79" s="68"/>
      <c r="F79" s="70"/>
    </row>
    <row r="80" spans="2:6" ht="12.75" customHeight="1" x14ac:dyDescent="0.2">
      <c r="B80" s="71"/>
      <c r="D80" s="68"/>
      <c r="F80" s="70"/>
    </row>
    <row r="81" spans="2:6" ht="12.75" customHeight="1" x14ac:dyDescent="0.2">
      <c r="B81" s="71"/>
      <c r="D81" s="68"/>
      <c r="F81" s="70"/>
    </row>
    <row r="82" spans="2:6" ht="12.75" customHeight="1" x14ac:dyDescent="0.2">
      <c r="B82" s="71"/>
      <c r="D82" s="68"/>
      <c r="F82" s="70"/>
    </row>
    <row r="83" spans="2:6" ht="12.75" customHeight="1" x14ac:dyDescent="0.2">
      <c r="B83" s="71"/>
      <c r="D83" s="68"/>
      <c r="F83" s="70"/>
    </row>
    <row r="84" spans="2:6" ht="12.75" customHeight="1" x14ac:dyDescent="0.2">
      <c r="B84" s="71"/>
      <c r="D84" s="68"/>
      <c r="F84" s="70"/>
    </row>
    <row r="85" spans="2:6" ht="12.75" customHeight="1" x14ac:dyDescent="0.2">
      <c r="B85" s="71"/>
      <c r="D85" s="68"/>
      <c r="F85" s="70"/>
    </row>
    <row r="86" spans="2:6" ht="12.75" customHeight="1" x14ac:dyDescent="0.2">
      <c r="B86" s="71"/>
      <c r="D86" s="68"/>
      <c r="F86" s="70"/>
    </row>
    <row r="87" spans="2:6" ht="12.75" customHeight="1" x14ac:dyDescent="0.2">
      <c r="B87" s="71"/>
      <c r="D87" s="68"/>
      <c r="F87" s="70"/>
    </row>
    <row r="88" spans="2:6" ht="12.75" customHeight="1" x14ac:dyDescent="0.2">
      <c r="B88" s="71"/>
      <c r="D88" s="68"/>
      <c r="F88" s="70"/>
    </row>
    <row r="89" spans="2:6" ht="12.75" customHeight="1" x14ac:dyDescent="0.2">
      <c r="B89" s="71"/>
      <c r="D89" s="68"/>
      <c r="F89" s="70"/>
    </row>
    <row r="90" spans="2:6" ht="12.75" customHeight="1" x14ac:dyDescent="0.2">
      <c r="B90" s="71"/>
      <c r="D90" s="68"/>
      <c r="F90" s="70"/>
    </row>
  </sheetData>
  <sheetProtection selectLockedCells="1" selectUnlockedCells="1"/>
  <mergeCells count="2">
    <mergeCell ref="B1:C1"/>
    <mergeCell ref="B3:C3"/>
  </mergeCells>
  <pageMargins left="0.7" right="0.7" top="0.75" bottom="0.75" header="0.3" footer="0.3"/>
  <pageSetup paperSize="9" scale="75" firstPageNumber="0" orientation="landscape" horizontalDpi="360" verticalDpi="360" r:id="rId1"/>
  <headerFooter alignWithMargins="0"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12"/>
  <sheetViews>
    <sheetView tabSelected="1" zoomScaleNormal="100" workbookViewId="0">
      <pane xSplit="6" ySplit="7" topLeftCell="G45" activePane="bottomRight" state="frozen"/>
      <selection pane="topRight" activeCell="F1" sqref="F1"/>
      <selection pane="bottomLeft" activeCell="A41" sqref="A41"/>
      <selection pane="bottomRight" activeCell="I55" sqref="I55"/>
    </sheetView>
  </sheetViews>
  <sheetFormatPr defaultColWidth="11.5703125" defaultRowHeight="12.95" customHeight="1" x14ac:dyDescent="0.2"/>
  <cols>
    <col min="1" max="1" width="4.7109375" style="148" customWidth="1"/>
    <col min="2" max="2" width="12.85546875" style="6" customWidth="1"/>
    <col min="3" max="3" width="19.42578125" style="1" customWidth="1"/>
    <col min="4" max="4" width="12.85546875" style="1" customWidth="1"/>
    <col min="5" max="5" width="28.140625" style="1" customWidth="1"/>
    <col min="6" max="7" width="12.28515625" style="7" customWidth="1"/>
    <col min="8" max="8" width="12.28515625" style="8" customWidth="1"/>
    <col min="9" max="9" width="12.7109375" style="8" customWidth="1"/>
    <col min="10" max="10" width="11.7109375" style="8" customWidth="1"/>
    <col min="11" max="12" width="12.28515625" style="8" customWidth="1"/>
    <col min="13" max="14" width="13.140625" style="8" customWidth="1"/>
    <col min="16" max="16" width="7.42578125" customWidth="1"/>
    <col min="17" max="17" width="14.28515625" style="144" customWidth="1"/>
    <col min="18" max="18" width="14.28515625" style="38" customWidth="1"/>
    <col min="19" max="19" width="12.85546875" style="148" customWidth="1"/>
    <col min="20" max="20" width="12.85546875" customWidth="1"/>
  </cols>
  <sheetData>
    <row r="1" spans="1:19" ht="15.6" customHeight="1" x14ac:dyDescent="0.25">
      <c r="B1" s="221" t="s">
        <v>0</v>
      </c>
      <c r="C1" s="221"/>
      <c r="D1" s="221"/>
      <c r="E1" s="221"/>
      <c r="F1" s="221"/>
      <c r="G1" s="222" t="s">
        <v>59</v>
      </c>
      <c r="H1" s="222"/>
      <c r="I1" s="222"/>
      <c r="O1" s="2"/>
      <c r="P1" s="2"/>
      <c r="Q1" s="139"/>
      <c r="R1" s="69" t="s">
        <v>53</v>
      </c>
      <c r="S1" s="145"/>
    </row>
    <row r="2" spans="1:19" ht="12.75" x14ac:dyDescent="0.2">
      <c r="B2" s="9"/>
      <c r="O2" s="2"/>
      <c r="P2" s="2"/>
      <c r="Q2" s="139"/>
      <c r="R2" s="69"/>
      <c r="S2" s="145"/>
    </row>
    <row r="3" spans="1:19" ht="12.75" customHeight="1" x14ac:dyDescent="0.2">
      <c r="B3" s="219" t="s">
        <v>8</v>
      </c>
      <c r="C3" s="219"/>
      <c r="D3" s="219"/>
      <c r="O3" s="2"/>
      <c r="P3" s="2"/>
      <c r="Q3" s="139"/>
      <c r="R3" s="69"/>
      <c r="S3" s="145"/>
    </row>
    <row r="4" spans="1:19" ht="12.75" x14ac:dyDescent="0.2">
      <c r="B4" s="9"/>
      <c r="O4" s="2"/>
      <c r="P4" s="2"/>
      <c r="Q4" s="139"/>
      <c r="R4" s="69"/>
      <c r="S4" s="145"/>
    </row>
    <row r="5" spans="1:19" ht="13.35" customHeight="1" x14ac:dyDescent="0.2">
      <c r="B5" s="10" t="s">
        <v>10</v>
      </c>
      <c r="I5" s="11" t="s">
        <v>11</v>
      </c>
      <c r="O5" s="2"/>
      <c r="Q5" s="140"/>
      <c r="R5" s="69"/>
      <c r="S5" s="145"/>
    </row>
    <row r="6" spans="1:19" ht="12.75" x14ac:dyDescent="0.2">
      <c r="B6" s="9"/>
      <c r="O6" s="2"/>
      <c r="P6" s="2"/>
      <c r="Q6" s="139"/>
      <c r="R6" s="69"/>
      <c r="S6" s="145"/>
    </row>
    <row r="7" spans="1:19" s="18" customFormat="1" ht="38.25" x14ac:dyDescent="0.2">
      <c r="A7" s="149" t="s">
        <v>54</v>
      </c>
      <c r="B7" s="12" t="s">
        <v>42</v>
      </c>
      <c r="C7" s="13" t="s">
        <v>3</v>
      </c>
      <c r="D7" s="14" t="s">
        <v>12</v>
      </c>
      <c r="E7" s="13" t="s">
        <v>13</v>
      </c>
      <c r="F7" s="15" t="s">
        <v>4</v>
      </c>
      <c r="G7" s="15" t="s">
        <v>5</v>
      </c>
      <c r="H7" s="16" t="s">
        <v>14</v>
      </c>
      <c r="I7" s="16" t="s">
        <v>2</v>
      </c>
      <c r="J7" s="16" t="s">
        <v>15</v>
      </c>
      <c r="K7" s="25"/>
      <c r="L7" s="16" t="s">
        <v>16</v>
      </c>
      <c r="M7" s="16" t="s">
        <v>7</v>
      </c>
      <c r="N7" s="16" t="s">
        <v>17</v>
      </c>
      <c r="O7" s="17" t="s">
        <v>18</v>
      </c>
      <c r="P7" s="17"/>
      <c r="Q7" s="141" t="s">
        <v>48</v>
      </c>
      <c r="R7" s="138" t="s">
        <v>41</v>
      </c>
      <c r="S7" s="146" t="s">
        <v>50</v>
      </c>
    </row>
    <row r="8" spans="1:19" s="18" customFormat="1" ht="12.75" x14ac:dyDescent="0.2">
      <c r="A8" s="149"/>
      <c r="B8" s="158" t="s">
        <v>62</v>
      </c>
      <c r="C8" s="157" t="s">
        <v>63</v>
      </c>
      <c r="D8" s="177" t="s">
        <v>66</v>
      </c>
      <c r="E8" s="178" t="s">
        <v>67</v>
      </c>
      <c r="F8" s="191">
        <v>35.4</v>
      </c>
      <c r="G8" s="15"/>
      <c r="H8" s="16"/>
      <c r="I8" s="193" t="s">
        <v>62</v>
      </c>
      <c r="J8" s="194" t="s">
        <v>72</v>
      </c>
      <c r="K8" s="25"/>
      <c r="L8" s="192">
        <v>35.4</v>
      </c>
      <c r="M8" s="192"/>
      <c r="N8" s="16"/>
      <c r="O8" s="17"/>
      <c r="P8" s="17"/>
      <c r="Q8" s="190" t="s">
        <v>58</v>
      </c>
      <c r="R8" s="138"/>
      <c r="S8" s="146"/>
    </row>
    <row r="9" spans="1:19" s="185" customFormat="1" ht="12.75" x14ac:dyDescent="0.2">
      <c r="A9" s="179"/>
      <c r="B9" s="180" t="s">
        <v>62</v>
      </c>
      <c r="C9" s="178" t="s">
        <v>64</v>
      </c>
      <c r="D9" s="177" t="s">
        <v>66</v>
      </c>
      <c r="E9" s="178" t="s">
        <v>68</v>
      </c>
      <c r="F9" s="191">
        <v>142.1</v>
      </c>
      <c r="G9" s="188"/>
      <c r="H9" s="176"/>
      <c r="I9" s="193" t="s">
        <v>62</v>
      </c>
      <c r="J9" s="194" t="s">
        <v>72</v>
      </c>
      <c r="K9" s="181"/>
      <c r="L9" s="192">
        <v>142.1</v>
      </c>
      <c r="M9" s="176"/>
      <c r="N9" s="176"/>
      <c r="O9" s="182"/>
      <c r="P9" s="182"/>
      <c r="Q9" s="190" t="s">
        <v>58</v>
      </c>
      <c r="R9" s="183"/>
      <c r="S9" s="184"/>
    </row>
    <row r="10" spans="1:19" s="18" customFormat="1" ht="12.75" x14ac:dyDescent="0.2">
      <c r="A10" s="149"/>
      <c r="B10" s="180" t="s">
        <v>62</v>
      </c>
      <c r="C10" s="178" t="s">
        <v>64</v>
      </c>
      <c r="D10" s="177" t="s">
        <v>66</v>
      </c>
      <c r="E10" s="216" t="s">
        <v>69</v>
      </c>
      <c r="F10" s="217">
        <v>7.19</v>
      </c>
      <c r="G10" s="188"/>
      <c r="H10" s="176">
        <v>1.2</v>
      </c>
      <c r="I10" s="193" t="s">
        <v>62</v>
      </c>
      <c r="J10" s="194" t="s">
        <v>72</v>
      </c>
      <c r="K10" s="181"/>
      <c r="L10" s="192"/>
      <c r="M10" s="192">
        <v>7.19</v>
      </c>
      <c r="N10" s="176"/>
      <c r="O10" s="182"/>
      <c r="P10" s="182"/>
      <c r="Q10" s="190" t="s">
        <v>58</v>
      </c>
      <c r="R10" s="183"/>
      <c r="S10" s="146"/>
    </row>
    <row r="11" spans="1:19" s="18" customFormat="1" ht="12.75" x14ac:dyDescent="0.2">
      <c r="A11" s="149"/>
      <c r="B11" s="180" t="s">
        <v>62</v>
      </c>
      <c r="C11" s="178" t="s">
        <v>65</v>
      </c>
      <c r="D11" s="177" t="s">
        <v>66</v>
      </c>
      <c r="E11" s="178" t="s">
        <v>70</v>
      </c>
      <c r="F11" s="191">
        <v>56.02</v>
      </c>
      <c r="G11" s="188"/>
      <c r="H11" s="176">
        <v>7.02</v>
      </c>
      <c r="I11" s="193" t="s">
        <v>62</v>
      </c>
      <c r="J11" s="194" t="s">
        <v>72</v>
      </c>
      <c r="K11" s="181"/>
      <c r="L11" s="176"/>
      <c r="M11" s="192">
        <v>56.02</v>
      </c>
      <c r="N11" s="176"/>
      <c r="O11" s="182"/>
      <c r="P11" s="182"/>
      <c r="Q11" s="190" t="s">
        <v>58</v>
      </c>
      <c r="R11" s="183"/>
      <c r="S11" s="146"/>
    </row>
    <row r="12" spans="1:19" s="18" customFormat="1" ht="12.75" x14ac:dyDescent="0.2">
      <c r="A12" s="149"/>
      <c r="B12" s="180" t="s">
        <v>62</v>
      </c>
      <c r="C12" s="178" t="s">
        <v>65</v>
      </c>
      <c r="D12" s="177" t="s">
        <v>66</v>
      </c>
      <c r="E12" s="178" t="s">
        <v>71</v>
      </c>
      <c r="F12" s="191">
        <v>36</v>
      </c>
      <c r="G12" s="188"/>
      <c r="H12" s="176">
        <v>6</v>
      </c>
      <c r="I12" s="193" t="s">
        <v>62</v>
      </c>
      <c r="J12" s="194" t="s">
        <v>73</v>
      </c>
      <c r="K12" s="181"/>
      <c r="L12" s="176"/>
      <c r="M12" s="192">
        <v>36</v>
      </c>
      <c r="N12" s="176"/>
      <c r="O12" s="182"/>
      <c r="P12" s="182"/>
      <c r="Q12" s="190" t="s">
        <v>58</v>
      </c>
      <c r="R12" s="183"/>
      <c r="S12" s="146"/>
    </row>
    <row r="13" spans="1:19" s="18" customFormat="1" ht="12.75" x14ac:dyDescent="0.2">
      <c r="A13" s="149"/>
      <c r="B13" s="158" t="s">
        <v>184</v>
      </c>
      <c r="C13" s="157" t="s">
        <v>63</v>
      </c>
      <c r="D13" s="189" t="s">
        <v>66</v>
      </c>
      <c r="E13" s="157" t="s">
        <v>76</v>
      </c>
      <c r="F13" s="167">
        <v>35.6</v>
      </c>
      <c r="G13" s="15"/>
      <c r="H13" s="192"/>
      <c r="I13" s="193" t="s">
        <v>87</v>
      </c>
      <c r="J13" s="194" t="s">
        <v>88</v>
      </c>
      <c r="K13" s="25"/>
      <c r="L13" s="164">
        <v>35.6</v>
      </c>
      <c r="M13" s="192"/>
      <c r="N13" s="16"/>
      <c r="O13" s="17"/>
      <c r="P13" s="17"/>
      <c r="Q13" s="142" t="s">
        <v>58</v>
      </c>
      <c r="R13" s="162"/>
      <c r="S13" s="146"/>
    </row>
    <row r="14" spans="1:19" ht="12.75" customHeight="1" x14ac:dyDescent="0.2">
      <c r="A14" s="148" t="str">
        <f>IF(Q14="Y",Q14&amp;S14,"")</f>
        <v/>
      </c>
      <c r="B14" s="26" t="s">
        <v>184</v>
      </c>
      <c r="C14" s="19" t="s">
        <v>74</v>
      </c>
      <c r="D14" s="189" t="s">
        <v>66</v>
      </c>
      <c r="E14" s="19" t="s">
        <v>77</v>
      </c>
      <c r="F14" s="53">
        <v>141.9</v>
      </c>
      <c r="G14" s="186"/>
      <c r="H14" s="187"/>
      <c r="I14" s="193" t="s">
        <v>87</v>
      </c>
      <c r="J14" s="194" t="s">
        <v>88</v>
      </c>
      <c r="K14" s="22"/>
      <c r="L14" s="23">
        <v>141.9</v>
      </c>
      <c r="M14" s="23"/>
      <c r="N14" s="23"/>
      <c r="O14" s="23"/>
      <c r="P14" s="23"/>
      <c r="Q14" s="142" t="s">
        <v>58</v>
      </c>
      <c r="R14" s="155"/>
      <c r="S14" s="147">
        <f>COUNTIF(Q$7:Q14,"Y")</f>
        <v>0</v>
      </c>
    </row>
    <row r="15" spans="1:19" ht="12.75" customHeight="1" x14ac:dyDescent="0.2">
      <c r="A15" s="148" t="str">
        <f t="shared" ref="A15:A69" si="0">IF(Q15="Y",Q15&amp;S15,"")</f>
        <v/>
      </c>
      <c r="B15" s="26" t="s">
        <v>184</v>
      </c>
      <c r="C15" s="19" t="s">
        <v>75</v>
      </c>
      <c r="D15" s="189" t="s">
        <v>66</v>
      </c>
      <c r="E15" s="19" t="s">
        <v>78</v>
      </c>
      <c r="F15" s="54">
        <v>236.16</v>
      </c>
      <c r="G15" s="57"/>
      <c r="H15" s="58"/>
      <c r="I15" s="193" t="s">
        <v>87</v>
      </c>
      <c r="J15" s="194" t="s">
        <v>88</v>
      </c>
      <c r="K15" s="22"/>
      <c r="L15" s="23"/>
      <c r="M15" s="23">
        <v>236.16</v>
      </c>
      <c r="N15" s="23"/>
      <c r="O15" s="23"/>
      <c r="P15" s="23"/>
      <c r="Q15" s="142" t="s">
        <v>58</v>
      </c>
      <c r="R15" s="155"/>
      <c r="S15" s="147">
        <f>COUNTIF(Q$7:Q15,"Y")</f>
        <v>0</v>
      </c>
    </row>
    <row r="16" spans="1:19" ht="12.75" customHeight="1" x14ac:dyDescent="0.2">
      <c r="A16" s="148" t="str">
        <f t="shared" si="0"/>
        <v/>
      </c>
      <c r="B16" s="26" t="s">
        <v>84</v>
      </c>
      <c r="C16" s="19" t="s">
        <v>85</v>
      </c>
      <c r="D16" s="189" t="s">
        <v>66</v>
      </c>
      <c r="E16" s="171" t="s">
        <v>86</v>
      </c>
      <c r="F16" s="213">
        <v>100.44</v>
      </c>
      <c r="G16" s="57"/>
      <c r="H16" s="59">
        <v>16.739999999999998</v>
      </c>
      <c r="I16" s="193" t="s">
        <v>87</v>
      </c>
      <c r="J16" s="194" t="s">
        <v>89</v>
      </c>
      <c r="K16" s="22"/>
      <c r="L16" s="23"/>
      <c r="M16" s="23">
        <v>100.44</v>
      </c>
      <c r="N16" s="23"/>
      <c r="O16" s="23"/>
      <c r="P16" s="23"/>
      <c r="Q16" s="142" t="s">
        <v>58</v>
      </c>
      <c r="R16" s="155"/>
      <c r="S16" s="147">
        <f>COUNTIF(Q$7:Q16,"Y")</f>
        <v>0</v>
      </c>
    </row>
    <row r="17" spans="1:29" ht="12.75" x14ac:dyDescent="0.2">
      <c r="A17" s="148" t="str">
        <f t="shared" si="0"/>
        <v/>
      </c>
      <c r="B17" s="26" t="s">
        <v>93</v>
      </c>
      <c r="C17" s="19" t="s">
        <v>90</v>
      </c>
      <c r="D17" s="189" t="s">
        <v>66</v>
      </c>
      <c r="E17" s="19" t="s">
        <v>91</v>
      </c>
      <c r="F17" s="53">
        <v>100</v>
      </c>
      <c r="G17" s="57"/>
      <c r="H17" s="59"/>
      <c r="I17" s="193" t="s">
        <v>87</v>
      </c>
      <c r="J17" s="194" t="s">
        <v>89</v>
      </c>
      <c r="K17" s="22"/>
      <c r="L17" s="23"/>
      <c r="M17" s="23">
        <v>100</v>
      </c>
      <c r="N17" s="23"/>
      <c r="O17" s="23"/>
      <c r="P17" s="23"/>
      <c r="Q17" s="142" t="s">
        <v>58</v>
      </c>
      <c r="R17" s="155"/>
      <c r="S17" s="147">
        <f>COUNTIF(Q$7:Q17,"Y")</f>
        <v>0</v>
      </c>
    </row>
    <row r="18" spans="1:29" ht="12.75" x14ac:dyDescent="0.2">
      <c r="A18" s="148" t="str">
        <f t="shared" si="0"/>
        <v/>
      </c>
      <c r="B18" s="26" t="s">
        <v>93</v>
      </c>
      <c r="C18" s="19" t="s">
        <v>64</v>
      </c>
      <c r="D18" s="189" t="s">
        <v>66</v>
      </c>
      <c r="E18" s="19" t="s">
        <v>92</v>
      </c>
      <c r="F18" s="53">
        <v>142.1</v>
      </c>
      <c r="G18" s="57"/>
      <c r="H18" s="59"/>
      <c r="I18" s="193" t="s">
        <v>87</v>
      </c>
      <c r="J18" s="194" t="s">
        <v>89</v>
      </c>
      <c r="K18" s="22"/>
      <c r="L18" s="23">
        <v>142.1</v>
      </c>
      <c r="M18" s="23"/>
      <c r="N18" s="23"/>
      <c r="O18" s="3"/>
      <c r="P18" s="22"/>
      <c r="Q18" s="142" t="s">
        <v>58</v>
      </c>
      <c r="R18" s="155"/>
      <c r="S18" s="147">
        <f>COUNTIF(Q$7:Q18,"Y")</f>
        <v>0</v>
      </c>
    </row>
    <row r="19" spans="1:29" ht="12.75" x14ac:dyDescent="0.2">
      <c r="A19" s="148" t="str">
        <f t="shared" si="0"/>
        <v/>
      </c>
      <c r="B19" s="159" t="s">
        <v>93</v>
      </c>
      <c r="C19" s="60" t="s">
        <v>63</v>
      </c>
      <c r="D19" s="189" t="s">
        <v>66</v>
      </c>
      <c r="E19" s="61" t="s">
        <v>94</v>
      </c>
      <c r="F19" s="62">
        <v>35.4</v>
      </c>
      <c r="G19" s="63"/>
      <c r="H19" s="59"/>
      <c r="I19" s="193" t="s">
        <v>87</v>
      </c>
      <c r="J19" s="194" t="s">
        <v>89</v>
      </c>
      <c r="K19" s="22"/>
      <c r="L19" s="23">
        <v>35.4</v>
      </c>
      <c r="N19" s="23"/>
      <c r="O19" s="3"/>
      <c r="P19" s="23"/>
      <c r="Q19" s="142" t="s">
        <v>58</v>
      </c>
      <c r="R19" s="155"/>
      <c r="S19" s="147">
        <f>COUNTIF(Q$7:Q19,"Y")</f>
        <v>0</v>
      </c>
    </row>
    <row r="20" spans="1:29" ht="12.75" customHeight="1" x14ac:dyDescent="0.2">
      <c r="A20" s="148" t="str">
        <f t="shared" si="0"/>
        <v/>
      </c>
      <c r="B20" s="66" t="s">
        <v>93</v>
      </c>
      <c r="C20" s="197" t="s">
        <v>95</v>
      </c>
      <c r="D20" s="189" t="s">
        <v>66</v>
      </c>
      <c r="E20" s="67" t="s">
        <v>96</v>
      </c>
      <c r="F20" s="58">
        <v>46.23</v>
      </c>
      <c r="G20" s="57"/>
      <c r="H20" s="59">
        <v>6.41</v>
      </c>
      <c r="I20" s="193" t="s">
        <v>87</v>
      </c>
      <c r="J20" s="194" t="s">
        <v>89</v>
      </c>
      <c r="K20" s="22" t="s">
        <v>8</v>
      </c>
      <c r="L20" s="23"/>
      <c r="M20" s="23">
        <v>46.23</v>
      </c>
      <c r="N20" s="23"/>
      <c r="O20" s="3"/>
      <c r="P20" s="23"/>
      <c r="Q20" s="142" t="s">
        <v>58</v>
      </c>
      <c r="R20" s="155"/>
      <c r="S20" s="147">
        <f>COUNTIF(Q$7:Q20,"Y")</f>
        <v>0</v>
      </c>
    </row>
    <row r="21" spans="1:29" s="5" customFormat="1" ht="12.75" x14ac:dyDescent="0.2">
      <c r="A21" s="148" t="str">
        <f t="shared" si="0"/>
        <v/>
      </c>
      <c r="B21" s="64" t="s">
        <v>97</v>
      </c>
      <c r="C21" s="160" t="s">
        <v>63</v>
      </c>
      <c r="D21" s="189" t="s">
        <v>66</v>
      </c>
      <c r="E21" s="160" t="s">
        <v>98</v>
      </c>
      <c r="F21" s="65">
        <v>35.6</v>
      </c>
      <c r="G21" s="55"/>
      <c r="H21" s="56"/>
      <c r="I21" s="193" t="s">
        <v>97</v>
      </c>
      <c r="J21" s="194" t="s">
        <v>118</v>
      </c>
      <c r="K21" s="22"/>
      <c r="L21" s="23">
        <v>35.6</v>
      </c>
      <c r="M21" s="23"/>
      <c r="N21" s="23"/>
      <c r="O21" s="3"/>
      <c r="P21" s="31"/>
      <c r="Q21" s="142" t="s">
        <v>58</v>
      </c>
      <c r="R21" s="155"/>
      <c r="S21" s="147">
        <f>COUNTIF(Q$7:Q21,"Y")</f>
        <v>0</v>
      </c>
      <c r="T21" s="2"/>
      <c r="U21"/>
      <c r="V21"/>
      <c r="W21"/>
      <c r="X21"/>
      <c r="Y21"/>
      <c r="Z21"/>
      <c r="AA21"/>
      <c r="AB21"/>
      <c r="AC21" s="32"/>
    </row>
    <row r="22" spans="1:29" s="5" customFormat="1" ht="12.75" x14ac:dyDescent="0.2">
      <c r="A22" s="148" t="str">
        <f t="shared" si="0"/>
        <v/>
      </c>
      <c r="B22" s="30" t="s">
        <v>97</v>
      </c>
      <c r="C22" s="19" t="s">
        <v>64</v>
      </c>
      <c r="D22" s="189" t="s">
        <v>66</v>
      </c>
      <c r="E22" s="19" t="s">
        <v>99</v>
      </c>
      <c r="F22" s="4">
        <v>141.9</v>
      </c>
      <c r="G22" s="25"/>
      <c r="H22" s="23"/>
      <c r="I22" s="193" t="s">
        <v>97</v>
      </c>
      <c r="J22" s="194" t="s">
        <v>118</v>
      </c>
      <c r="K22" s="22"/>
      <c r="L22" s="23">
        <v>141.9</v>
      </c>
      <c r="M22" s="23"/>
      <c r="N22" s="23"/>
      <c r="O22" s="3"/>
      <c r="P22" s="31"/>
      <c r="Q22" s="142" t="s">
        <v>58</v>
      </c>
      <c r="R22" s="155"/>
      <c r="S22" s="147">
        <f>COUNTIF(Q$7:Q22,"Y")</f>
        <v>0</v>
      </c>
      <c r="T22" s="2"/>
      <c r="U22"/>
      <c r="V22"/>
      <c r="W22"/>
      <c r="X22"/>
      <c r="Y22"/>
      <c r="Z22"/>
      <c r="AA22"/>
      <c r="AB22"/>
      <c r="AC22" s="32"/>
    </row>
    <row r="23" spans="1:29" s="5" customFormat="1" ht="12.75" customHeight="1" x14ac:dyDescent="0.2">
      <c r="A23" s="148" t="str">
        <f t="shared" si="0"/>
        <v/>
      </c>
      <c r="B23" s="30" t="s">
        <v>97</v>
      </c>
      <c r="C23" s="171" t="s">
        <v>100</v>
      </c>
      <c r="D23" s="189" t="s">
        <v>66</v>
      </c>
      <c r="E23" s="19" t="s">
        <v>101</v>
      </c>
      <c r="F23" s="4">
        <v>84.85</v>
      </c>
      <c r="G23" s="25"/>
      <c r="H23" s="23"/>
      <c r="I23" s="192" t="s">
        <v>97</v>
      </c>
      <c r="J23" s="194" t="s">
        <v>118</v>
      </c>
      <c r="K23" s="22"/>
      <c r="L23" s="23"/>
      <c r="M23" s="23">
        <v>84.85</v>
      </c>
      <c r="N23" s="23"/>
      <c r="O23" s="3"/>
      <c r="P23" s="31"/>
      <c r="Q23" s="142" t="s">
        <v>58</v>
      </c>
      <c r="R23" s="155"/>
      <c r="S23" s="147">
        <f>COUNTIF(Q$7:Q23,"Y")</f>
        <v>0</v>
      </c>
      <c r="T23" s="2"/>
      <c r="U23"/>
      <c r="V23"/>
      <c r="W23"/>
      <c r="X23"/>
      <c r="Y23"/>
      <c r="Z23"/>
      <c r="AA23"/>
      <c r="AB23"/>
      <c r="AC23" s="32"/>
    </row>
    <row r="24" spans="1:29" s="5" customFormat="1" ht="12.75" x14ac:dyDescent="0.2">
      <c r="A24" s="148" t="str">
        <f t="shared" si="0"/>
        <v/>
      </c>
      <c r="B24" s="30" t="s">
        <v>97</v>
      </c>
      <c r="C24" s="19" t="s">
        <v>100</v>
      </c>
      <c r="D24" s="189" t="s">
        <v>66</v>
      </c>
      <c r="E24" s="19" t="s">
        <v>102</v>
      </c>
      <c r="F24" s="25">
        <v>35.44</v>
      </c>
      <c r="G24" s="4"/>
      <c r="H24" s="23">
        <v>5.91</v>
      </c>
      <c r="I24" s="192" t="s">
        <v>97</v>
      </c>
      <c r="J24" s="194" t="s">
        <v>118</v>
      </c>
      <c r="K24" s="22"/>
      <c r="L24" s="23"/>
      <c r="M24" s="23">
        <v>35.44</v>
      </c>
      <c r="N24" s="23"/>
      <c r="O24" s="23"/>
      <c r="P24" s="23"/>
      <c r="Q24" s="142" t="s">
        <v>58</v>
      </c>
      <c r="R24" s="155"/>
      <c r="S24" s="147">
        <f>COUNTIF(Q$7:Q24,"Y")</f>
        <v>0</v>
      </c>
      <c r="T24" s="2"/>
      <c r="U24"/>
      <c r="V24"/>
      <c r="W24"/>
      <c r="X24"/>
      <c r="Y24"/>
      <c r="Z24"/>
      <c r="AA24"/>
      <c r="AB24"/>
      <c r="AC24" s="32"/>
    </row>
    <row r="25" spans="1:29" s="5" customFormat="1" ht="12.75" x14ac:dyDescent="0.2">
      <c r="A25" s="148" t="str">
        <f t="shared" si="0"/>
        <v/>
      </c>
      <c r="B25" s="30" t="s">
        <v>109</v>
      </c>
      <c r="C25" s="19" t="s">
        <v>103</v>
      </c>
      <c r="D25" s="189" t="s">
        <v>66</v>
      </c>
      <c r="E25" s="19" t="s">
        <v>104</v>
      </c>
      <c r="F25" s="4">
        <v>780</v>
      </c>
      <c r="G25" s="25"/>
      <c r="H25" s="23"/>
      <c r="I25" s="192" t="s">
        <v>111</v>
      </c>
      <c r="J25" s="194" t="s">
        <v>119</v>
      </c>
      <c r="K25" s="22"/>
      <c r="L25" s="23"/>
      <c r="M25" s="23">
        <v>780</v>
      </c>
      <c r="N25" s="23"/>
      <c r="O25" s="23"/>
      <c r="P25" s="22"/>
      <c r="Q25" s="142" t="s">
        <v>58</v>
      </c>
      <c r="R25" s="155"/>
      <c r="S25" s="147">
        <f>COUNTIF(Q$7:Q25,"Y")</f>
        <v>0</v>
      </c>
      <c r="T25" s="2"/>
      <c r="U25"/>
      <c r="V25"/>
      <c r="W25"/>
      <c r="X25"/>
      <c r="Y25"/>
      <c r="Z25"/>
      <c r="AA25"/>
      <c r="AB25"/>
      <c r="AC25" s="32"/>
    </row>
    <row r="26" spans="1:29" s="5" customFormat="1" ht="12.75" x14ac:dyDescent="0.2">
      <c r="A26" s="148" t="str">
        <f t="shared" si="0"/>
        <v/>
      </c>
      <c r="B26" s="33" t="s">
        <v>105</v>
      </c>
      <c r="C26" s="19" t="s">
        <v>63</v>
      </c>
      <c r="D26" s="189" t="s">
        <v>66</v>
      </c>
      <c r="E26" s="215" t="s">
        <v>106</v>
      </c>
      <c r="F26" s="214">
        <v>35.4</v>
      </c>
      <c r="G26" s="25"/>
      <c r="H26" s="23"/>
      <c r="I26" s="192" t="s">
        <v>111</v>
      </c>
      <c r="J26" s="194" t="s">
        <v>119</v>
      </c>
      <c r="K26" s="22"/>
      <c r="L26" s="23">
        <v>35.4</v>
      </c>
      <c r="M26" s="23"/>
      <c r="N26" s="23"/>
      <c r="O26" s="23"/>
      <c r="P26" s="23"/>
      <c r="Q26" s="142" t="s">
        <v>58</v>
      </c>
      <c r="R26" s="155"/>
      <c r="S26" s="147">
        <f>COUNTIF(Q$7:Q26,"Y")</f>
        <v>0</v>
      </c>
      <c r="T26" s="34"/>
      <c r="U26"/>
      <c r="V26"/>
      <c r="W26"/>
      <c r="X26"/>
      <c r="Y26"/>
      <c r="Z26"/>
      <c r="AA26"/>
      <c r="AB26"/>
      <c r="AC26" s="32"/>
    </row>
    <row r="27" spans="1:29" s="5" customFormat="1" ht="12.75" customHeight="1" x14ac:dyDescent="0.2">
      <c r="A27" s="148" t="str">
        <f t="shared" si="0"/>
        <v/>
      </c>
      <c r="B27" s="30" t="s">
        <v>105</v>
      </c>
      <c r="C27" s="19" t="s">
        <v>64</v>
      </c>
      <c r="D27" s="189" t="s">
        <v>66</v>
      </c>
      <c r="E27" s="19" t="s">
        <v>107</v>
      </c>
      <c r="F27" s="25">
        <v>142.1</v>
      </c>
      <c r="G27" s="25"/>
      <c r="H27" s="23"/>
      <c r="I27" s="192" t="s">
        <v>111</v>
      </c>
      <c r="J27" s="194" t="s">
        <v>119</v>
      </c>
      <c r="K27" s="23"/>
      <c r="L27" s="23">
        <v>142.1</v>
      </c>
      <c r="M27" s="23"/>
      <c r="N27" s="23"/>
      <c r="O27" s="23"/>
      <c r="P27" s="22"/>
      <c r="Q27" s="142" t="s">
        <v>58</v>
      </c>
      <c r="R27" s="155"/>
      <c r="S27" s="147">
        <f>COUNTIF(Q$7:Q27,"Y")</f>
        <v>0</v>
      </c>
      <c r="T27" s="2"/>
      <c r="U27"/>
      <c r="V27"/>
      <c r="W27"/>
      <c r="X27"/>
      <c r="Y27"/>
      <c r="Z27"/>
      <c r="AA27"/>
      <c r="AB27"/>
      <c r="AC27" s="32"/>
    </row>
    <row r="28" spans="1:29" s="5" customFormat="1" ht="12.75" customHeight="1" x14ac:dyDescent="0.2">
      <c r="A28" s="148" t="str">
        <f t="shared" si="0"/>
        <v/>
      </c>
      <c r="B28" s="30" t="s">
        <v>105</v>
      </c>
      <c r="C28" s="19" t="s">
        <v>85</v>
      </c>
      <c r="D28" s="189" t="s">
        <v>66</v>
      </c>
      <c r="E28" s="171" t="s">
        <v>172</v>
      </c>
      <c r="F28" s="172">
        <v>50</v>
      </c>
      <c r="G28" s="25"/>
      <c r="H28" s="23"/>
      <c r="I28" s="192" t="s">
        <v>111</v>
      </c>
      <c r="J28" s="194" t="s">
        <v>119</v>
      </c>
      <c r="K28" s="23"/>
      <c r="L28" s="23"/>
      <c r="M28" s="23">
        <v>50</v>
      </c>
      <c r="N28" s="23"/>
      <c r="O28" s="23"/>
      <c r="P28" s="22"/>
      <c r="Q28" s="142" t="s">
        <v>58</v>
      </c>
      <c r="R28" s="155"/>
      <c r="S28" s="147">
        <f>COUNTIF(Q$7:Q28,"Y")</f>
        <v>0</v>
      </c>
      <c r="T28" s="2"/>
      <c r="U28"/>
      <c r="V28"/>
      <c r="W28"/>
      <c r="X28"/>
      <c r="Y28"/>
      <c r="Z28"/>
      <c r="AA28"/>
      <c r="AB28"/>
      <c r="AC28" s="32"/>
    </row>
    <row r="29" spans="1:29" s="5" customFormat="1" ht="12.75" customHeight="1" x14ac:dyDescent="0.2">
      <c r="A29" s="148" t="str">
        <f t="shared" si="0"/>
        <v/>
      </c>
      <c r="B29" s="30" t="s">
        <v>105</v>
      </c>
      <c r="C29" s="19" t="s">
        <v>74</v>
      </c>
      <c r="D29" s="189" t="s">
        <v>66</v>
      </c>
      <c r="E29" s="19" t="s">
        <v>108</v>
      </c>
      <c r="F29" s="25">
        <v>9.74</v>
      </c>
      <c r="G29" s="25"/>
      <c r="H29" s="23"/>
      <c r="I29" s="192" t="s">
        <v>111</v>
      </c>
      <c r="J29" s="194" t="s">
        <v>119</v>
      </c>
      <c r="K29" s="22"/>
      <c r="L29" s="23"/>
      <c r="M29" s="23">
        <v>9.74</v>
      </c>
      <c r="N29" s="23"/>
      <c r="O29" s="23"/>
      <c r="P29" s="23"/>
      <c r="Q29" s="142" t="s">
        <v>110</v>
      </c>
      <c r="R29" s="155"/>
      <c r="S29" s="147">
        <f>COUNTIF(Q$7:Q29,"Y")</f>
        <v>0</v>
      </c>
      <c r="T29" s="2"/>
      <c r="U29"/>
      <c r="V29"/>
      <c r="W29"/>
      <c r="X29"/>
      <c r="Y29"/>
      <c r="Z29"/>
      <c r="AA29"/>
      <c r="AB29"/>
      <c r="AC29" s="32"/>
    </row>
    <row r="30" spans="1:29" s="5" customFormat="1" ht="12.75" customHeight="1" x14ac:dyDescent="0.2">
      <c r="A30" s="148" t="str">
        <f t="shared" si="0"/>
        <v/>
      </c>
      <c r="B30" s="30" t="s">
        <v>111</v>
      </c>
      <c r="C30" s="19" t="s">
        <v>63</v>
      </c>
      <c r="D30" s="189" t="s">
        <v>66</v>
      </c>
      <c r="E30" s="19" t="s">
        <v>120</v>
      </c>
      <c r="F30" s="25">
        <v>35.6</v>
      </c>
      <c r="G30" s="25"/>
      <c r="H30" s="22"/>
      <c r="I30" s="192" t="s">
        <v>111</v>
      </c>
      <c r="J30" s="194" t="s">
        <v>121</v>
      </c>
      <c r="K30" s="22"/>
      <c r="L30" s="23">
        <v>35.6</v>
      </c>
      <c r="M30" s="23"/>
      <c r="N30" s="23"/>
      <c r="O30" s="23"/>
      <c r="P30" s="23"/>
      <c r="Q30" s="142" t="s">
        <v>58</v>
      </c>
      <c r="R30" s="155" t="s">
        <v>128</v>
      </c>
      <c r="S30" s="147">
        <f>COUNTIF(Q$7:Q30,"Y")</f>
        <v>0</v>
      </c>
      <c r="T30" s="2"/>
      <c r="U30"/>
      <c r="V30"/>
      <c r="W30"/>
      <c r="X30"/>
      <c r="Y30"/>
      <c r="Z30"/>
      <c r="AA30"/>
      <c r="AB30"/>
      <c r="AC30" s="32"/>
    </row>
    <row r="31" spans="1:29" s="5" customFormat="1" ht="12.75" customHeight="1" x14ac:dyDescent="0.2">
      <c r="A31" s="148" t="str">
        <f t="shared" si="0"/>
        <v/>
      </c>
      <c r="B31" s="33" t="s">
        <v>111</v>
      </c>
      <c r="C31" s="19" t="s">
        <v>64</v>
      </c>
      <c r="D31" s="189" t="s">
        <v>66</v>
      </c>
      <c r="E31" s="19" t="s">
        <v>122</v>
      </c>
      <c r="F31" s="25">
        <v>141.9</v>
      </c>
      <c r="G31" s="25"/>
      <c r="H31" s="23"/>
      <c r="I31" s="192" t="s">
        <v>111</v>
      </c>
      <c r="J31" s="194" t="s">
        <v>121</v>
      </c>
      <c r="K31" s="22"/>
      <c r="L31" s="23">
        <v>141.9</v>
      </c>
      <c r="M31" s="23"/>
      <c r="N31" s="23"/>
      <c r="O31" s="23"/>
      <c r="P31" s="23"/>
      <c r="Q31" s="142" t="s">
        <v>58</v>
      </c>
      <c r="R31" s="155" t="s">
        <v>128</v>
      </c>
      <c r="S31" s="147">
        <f>COUNTIF(Q$7:Q31,"Y")</f>
        <v>0</v>
      </c>
      <c r="T31" s="2"/>
      <c r="U31"/>
      <c r="V31"/>
      <c r="W31"/>
      <c r="X31"/>
      <c r="Y31"/>
      <c r="Z31"/>
      <c r="AA31"/>
      <c r="AB31"/>
      <c r="AC31" s="32"/>
    </row>
    <row r="32" spans="1:29" s="5" customFormat="1" ht="12.75" customHeight="1" x14ac:dyDescent="0.2">
      <c r="A32" s="148" t="str">
        <f t="shared" si="0"/>
        <v/>
      </c>
      <c r="B32" s="30" t="s">
        <v>111</v>
      </c>
      <c r="C32" s="19" t="s">
        <v>123</v>
      </c>
      <c r="D32" s="189" t="s">
        <v>66</v>
      </c>
      <c r="E32" s="171" t="s">
        <v>124</v>
      </c>
      <c r="F32" s="172">
        <v>250</v>
      </c>
      <c r="G32" s="25"/>
      <c r="H32" s="23"/>
      <c r="I32" s="192" t="s">
        <v>111</v>
      </c>
      <c r="J32" s="194" t="s">
        <v>121</v>
      </c>
      <c r="K32" s="22"/>
      <c r="L32" s="23"/>
      <c r="M32" s="23"/>
      <c r="N32" s="23">
        <v>250</v>
      </c>
      <c r="O32" s="23"/>
      <c r="P32" s="23"/>
      <c r="Q32" s="142" t="s">
        <v>58</v>
      </c>
      <c r="R32" s="155" t="s">
        <v>128</v>
      </c>
      <c r="S32" s="147">
        <f>COUNTIF(Q$7:Q32,"Y")</f>
        <v>0</v>
      </c>
      <c r="T32" s="2"/>
      <c r="U32"/>
      <c r="V32"/>
      <c r="W32"/>
      <c r="X32"/>
      <c r="Y32"/>
      <c r="Z32"/>
      <c r="AA32"/>
      <c r="AB32"/>
      <c r="AC32" s="32"/>
    </row>
    <row r="33" spans="1:29" s="5" customFormat="1" ht="12.75" customHeight="1" x14ac:dyDescent="0.2">
      <c r="A33" s="148" t="str">
        <f t="shared" si="0"/>
        <v/>
      </c>
      <c r="B33" s="30" t="s">
        <v>111</v>
      </c>
      <c r="C33" s="19" t="s">
        <v>123</v>
      </c>
      <c r="D33" s="189" t="s">
        <v>66</v>
      </c>
      <c r="E33" s="171" t="s">
        <v>125</v>
      </c>
      <c r="F33" s="172">
        <v>10</v>
      </c>
      <c r="G33" s="25"/>
      <c r="H33" s="23"/>
      <c r="I33" s="192" t="s">
        <v>111</v>
      </c>
      <c r="J33" s="194" t="s">
        <v>121</v>
      </c>
      <c r="K33" s="22"/>
      <c r="L33" s="23"/>
      <c r="M33" s="23">
        <v>10</v>
      </c>
      <c r="N33" s="23"/>
      <c r="O33" s="23"/>
      <c r="P33" s="23"/>
      <c r="Q33" s="142" t="s">
        <v>58</v>
      </c>
      <c r="R33" s="155" t="s">
        <v>128</v>
      </c>
      <c r="S33" s="147">
        <f>COUNTIF(Q$7:Q33,"Y")</f>
        <v>0</v>
      </c>
      <c r="T33" s="2"/>
      <c r="U33"/>
      <c r="V33"/>
      <c r="W33"/>
      <c r="X33"/>
      <c r="Y33"/>
      <c r="Z33"/>
      <c r="AA33"/>
      <c r="AB33"/>
      <c r="AC33" s="32"/>
    </row>
    <row r="34" spans="1:29" s="5" customFormat="1" ht="12.75" x14ac:dyDescent="0.2">
      <c r="A34" s="148" t="str">
        <f t="shared" si="0"/>
        <v/>
      </c>
      <c r="B34" s="30" t="s">
        <v>129</v>
      </c>
      <c r="C34" s="19" t="s">
        <v>63</v>
      </c>
      <c r="D34" s="189" t="s">
        <v>66</v>
      </c>
      <c r="E34" s="19" t="s">
        <v>130</v>
      </c>
      <c r="F34" s="25">
        <v>35.4</v>
      </c>
      <c r="G34" s="25"/>
      <c r="H34" s="22"/>
      <c r="I34" s="192" t="s">
        <v>132</v>
      </c>
      <c r="J34" s="194" t="s">
        <v>136</v>
      </c>
      <c r="K34" s="22"/>
      <c r="L34" s="22">
        <v>35.4</v>
      </c>
      <c r="M34" s="23"/>
      <c r="N34" s="23"/>
      <c r="O34" s="23"/>
      <c r="P34" s="23"/>
      <c r="Q34" s="142" t="s">
        <v>58</v>
      </c>
      <c r="R34" s="155"/>
      <c r="S34" s="147">
        <f>COUNTIF(Q$7:Q34,"Y")</f>
        <v>0</v>
      </c>
      <c r="T34" s="2" t="s">
        <v>8</v>
      </c>
      <c r="U34"/>
      <c r="V34"/>
      <c r="W34"/>
      <c r="X34"/>
      <c r="Y34"/>
      <c r="Z34"/>
      <c r="AA34"/>
      <c r="AB34"/>
      <c r="AC34" s="32"/>
    </row>
    <row r="35" spans="1:29" s="5" customFormat="1" ht="12.75" x14ac:dyDescent="0.2">
      <c r="A35" s="148"/>
      <c r="B35" s="30" t="s">
        <v>129</v>
      </c>
      <c r="C35" s="19" t="s">
        <v>64</v>
      </c>
      <c r="D35" s="189" t="s">
        <v>66</v>
      </c>
      <c r="E35" s="19" t="s">
        <v>131</v>
      </c>
      <c r="F35" s="25">
        <v>142.1</v>
      </c>
      <c r="G35" s="25"/>
      <c r="H35" s="22"/>
      <c r="I35" s="192" t="s">
        <v>132</v>
      </c>
      <c r="J35" s="194" t="s">
        <v>136</v>
      </c>
      <c r="K35" s="22"/>
      <c r="L35" s="22">
        <v>142.1</v>
      </c>
      <c r="M35" s="23"/>
      <c r="N35" s="23"/>
      <c r="O35" s="23"/>
      <c r="P35" s="23"/>
      <c r="Q35" s="142" t="s">
        <v>58</v>
      </c>
      <c r="R35" s="195"/>
      <c r="S35" s="147"/>
      <c r="T35" s="2"/>
      <c r="U35"/>
      <c r="V35"/>
      <c r="W35"/>
      <c r="X35"/>
      <c r="Y35"/>
      <c r="Z35"/>
      <c r="AA35"/>
      <c r="AB35"/>
      <c r="AC35" s="32"/>
    </row>
    <row r="36" spans="1:29" s="5" customFormat="1" ht="12.75" x14ac:dyDescent="0.2">
      <c r="A36" s="148"/>
      <c r="B36" s="30" t="s">
        <v>132</v>
      </c>
      <c r="C36" s="19" t="s">
        <v>63</v>
      </c>
      <c r="D36" s="189" t="s">
        <v>66</v>
      </c>
      <c r="E36" s="19" t="s">
        <v>133</v>
      </c>
      <c r="F36" s="25">
        <v>35.6</v>
      </c>
      <c r="G36" s="25"/>
      <c r="H36" s="22"/>
      <c r="I36" s="192" t="s">
        <v>132</v>
      </c>
      <c r="J36" s="194" t="s">
        <v>136</v>
      </c>
      <c r="K36" s="22"/>
      <c r="L36" s="22">
        <v>35.6</v>
      </c>
      <c r="M36" s="23"/>
      <c r="N36" s="23"/>
      <c r="O36" s="23"/>
      <c r="P36" s="23"/>
      <c r="Q36" s="142" t="s">
        <v>58</v>
      </c>
      <c r="R36" s="195" t="s">
        <v>140</v>
      </c>
      <c r="S36" s="147"/>
      <c r="T36" s="2"/>
      <c r="U36"/>
      <c r="V36"/>
      <c r="W36"/>
      <c r="X36"/>
      <c r="Y36"/>
      <c r="Z36"/>
      <c r="AA36"/>
      <c r="AB36"/>
      <c r="AC36" s="32"/>
    </row>
    <row r="37" spans="1:29" s="5" customFormat="1" ht="12.75" x14ac:dyDescent="0.2">
      <c r="A37" s="148" t="str">
        <f t="shared" si="0"/>
        <v/>
      </c>
      <c r="B37" s="33" t="s">
        <v>132</v>
      </c>
      <c r="C37" s="19" t="s">
        <v>64</v>
      </c>
      <c r="D37" s="189" t="s">
        <v>66</v>
      </c>
      <c r="E37" s="19" t="s">
        <v>134</v>
      </c>
      <c r="F37" s="25">
        <v>141.9</v>
      </c>
      <c r="G37" s="25"/>
      <c r="H37" s="23"/>
      <c r="I37" s="192" t="s">
        <v>132</v>
      </c>
      <c r="J37" s="194" t="s">
        <v>136</v>
      </c>
      <c r="K37" s="22"/>
      <c r="L37" s="23">
        <v>141.9</v>
      </c>
      <c r="M37" s="23"/>
      <c r="N37" s="23"/>
      <c r="O37" s="23"/>
      <c r="P37" s="23"/>
      <c r="Q37" s="142" t="s">
        <v>58</v>
      </c>
      <c r="R37" s="155" t="s">
        <v>140</v>
      </c>
      <c r="S37" s="147">
        <f>COUNTIF(Q$7:Q37,"Y")</f>
        <v>0</v>
      </c>
      <c r="T37" s="34"/>
      <c r="U37"/>
      <c r="V37"/>
      <c r="W37"/>
      <c r="X37"/>
      <c r="Y37"/>
      <c r="Z37"/>
      <c r="AA37"/>
      <c r="AB37"/>
      <c r="AC37" s="32"/>
    </row>
    <row r="38" spans="1:29" s="5" customFormat="1" ht="12.75" customHeight="1" x14ac:dyDescent="0.2">
      <c r="A38" s="148" t="str">
        <f t="shared" si="0"/>
        <v/>
      </c>
      <c r="B38" s="30" t="s">
        <v>132</v>
      </c>
      <c r="C38" s="19" t="s">
        <v>123</v>
      </c>
      <c r="D38" s="189" t="s">
        <v>66</v>
      </c>
      <c r="E38" s="171" t="s">
        <v>135</v>
      </c>
      <c r="F38" s="172">
        <v>12</v>
      </c>
      <c r="G38" s="25"/>
      <c r="H38" s="23"/>
      <c r="I38" s="192" t="s">
        <v>132</v>
      </c>
      <c r="J38" s="194" t="s">
        <v>136</v>
      </c>
      <c r="K38" s="22"/>
      <c r="L38" s="23"/>
      <c r="M38" s="23">
        <v>12</v>
      </c>
      <c r="N38" s="23"/>
      <c r="O38" s="23"/>
      <c r="P38" s="23"/>
      <c r="Q38" s="142" t="s">
        <v>58</v>
      </c>
      <c r="R38" s="155" t="s">
        <v>140</v>
      </c>
      <c r="S38" s="147">
        <f>COUNTIF(Q$7:Q38,"Y")</f>
        <v>0</v>
      </c>
      <c r="T38" s="2"/>
      <c r="U38"/>
      <c r="V38"/>
      <c r="W38"/>
      <c r="X38"/>
      <c r="Y38"/>
      <c r="Z38"/>
      <c r="AA38"/>
      <c r="AB38"/>
      <c r="AC38" s="32"/>
    </row>
    <row r="39" spans="1:29" s="5" customFormat="1" ht="12.75" customHeight="1" x14ac:dyDescent="0.2">
      <c r="A39" s="148" t="str">
        <f t="shared" si="0"/>
        <v/>
      </c>
      <c r="B39" s="30" t="s">
        <v>137</v>
      </c>
      <c r="C39" s="19" t="s">
        <v>138</v>
      </c>
      <c r="D39" s="189" t="s">
        <v>66</v>
      </c>
      <c r="E39" s="19" t="s">
        <v>139</v>
      </c>
      <c r="F39" s="25">
        <v>35.4</v>
      </c>
      <c r="G39" s="21"/>
      <c r="H39" s="22"/>
      <c r="I39" s="192" t="s">
        <v>147</v>
      </c>
      <c r="J39" s="194" t="s">
        <v>155</v>
      </c>
      <c r="K39" s="22"/>
      <c r="L39" s="23">
        <v>35.4</v>
      </c>
      <c r="M39" s="23"/>
      <c r="N39" s="23"/>
      <c r="O39" s="23"/>
      <c r="P39" s="23"/>
      <c r="Q39" s="142" t="s">
        <v>58</v>
      </c>
      <c r="R39" s="155" t="s">
        <v>137</v>
      </c>
      <c r="S39" s="147">
        <f>COUNTIF(Q$7:Q39,"Y")</f>
        <v>0</v>
      </c>
      <c r="T39" s="2"/>
      <c r="U39"/>
      <c r="V39"/>
      <c r="W39"/>
      <c r="X39"/>
      <c r="Y39"/>
      <c r="Z39"/>
      <c r="AA39"/>
      <c r="AB39"/>
      <c r="AC39" s="32"/>
    </row>
    <row r="40" spans="1:29" s="5" customFormat="1" ht="12.75" customHeight="1" x14ac:dyDescent="0.2">
      <c r="A40" s="148" t="str">
        <f t="shared" si="0"/>
        <v/>
      </c>
      <c r="B40" s="26" t="s">
        <v>137</v>
      </c>
      <c r="C40" s="19" t="s">
        <v>64</v>
      </c>
      <c r="D40" s="207" t="s">
        <v>66</v>
      </c>
      <c r="E40" s="19" t="s">
        <v>141</v>
      </c>
      <c r="F40" s="21">
        <v>142.1</v>
      </c>
      <c r="G40" s="21"/>
      <c r="H40" s="196"/>
      <c r="I40" s="192" t="s">
        <v>147</v>
      </c>
      <c r="J40" s="194" t="s">
        <v>155</v>
      </c>
      <c r="K40" s="22"/>
      <c r="L40" s="23">
        <v>142.1</v>
      </c>
      <c r="M40" s="23"/>
      <c r="N40" s="23"/>
      <c r="O40" s="23"/>
      <c r="P40" s="23"/>
      <c r="Q40" s="142" t="s">
        <v>58</v>
      </c>
      <c r="R40" s="155" t="s">
        <v>137</v>
      </c>
      <c r="S40" s="147">
        <f>COUNTIF(Q$7:Q40,"Y")</f>
        <v>0</v>
      </c>
      <c r="T40" s="2"/>
      <c r="U40"/>
      <c r="V40"/>
      <c r="W40"/>
      <c r="X40"/>
      <c r="Y40"/>
      <c r="Z40"/>
      <c r="AA40"/>
      <c r="AB40"/>
      <c r="AC40" s="32"/>
    </row>
    <row r="41" spans="1:29" s="5" customFormat="1" ht="12.75" customHeight="1" x14ac:dyDescent="0.2">
      <c r="A41" s="148" t="str">
        <f t="shared" si="0"/>
        <v/>
      </c>
      <c r="B41" s="26" t="s">
        <v>137</v>
      </c>
      <c r="C41" s="19" t="s">
        <v>142</v>
      </c>
      <c r="D41" s="207" t="s">
        <v>66</v>
      </c>
      <c r="E41" s="19" t="s">
        <v>143</v>
      </c>
      <c r="F41" s="25">
        <v>370</v>
      </c>
      <c r="G41" s="25"/>
      <c r="H41" s="23"/>
      <c r="I41" s="192" t="s">
        <v>147</v>
      </c>
      <c r="J41" s="194" t="s">
        <v>155</v>
      </c>
      <c r="K41" s="23"/>
      <c r="L41" s="23"/>
      <c r="M41" s="23">
        <v>370</v>
      </c>
      <c r="N41" s="23"/>
      <c r="O41" s="23"/>
      <c r="P41" s="23"/>
      <c r="Q41" s="142" t="s">
        <v>58</v>
      </c>
      <c r="R41" s="155" t="s">
        <v>137</v>
      </c>
      <c r="S41" s="147">
        <f>COUNTIF(Q$7:Q41,"Y")</f>
        <v>0</v>
      </c>
      <c r="T41"/>
      <c r="U41"/>
      <c r="V41"/>
      <c r="W41"/>
      <c r="X41"/>
      <c r="Y41"/>
      <c r="Z41"/>
      <c r="AA41"/>
      <c r="AB41"/>
      <c r="AC41" s="32"/>
    </row>
    <row r="42" spans="1:29" s="5" customFormat="1" ht="12.75" customHeight="1" x14ac:dyDescent="0.2">
      <c r="A42" s="148" t="str">
        <f t="shared" si="0"/>
        <v/>
      </c>
      <c r="B42" s="26" t="s">
        <v>137</v>
      </c>
      <c r="C42" s="29" t="s">
        <v>144</v>
      </c>
      <c r="D42" s="207" t="s">
        <v>66</v>
      </c>
      <c r="E42" s="19" t="s">
        <v>145</v>
      </c>
      <c r="F42" s="25">
        <v>187.08</v>
      </c>
      <c r="G42" s="25"/>
      <c r="H42" s="23"/>
      <c r="I42" s="192" t="s">
        <v>147</v>
      </c>
      <c r="J42" s="194" t="s">
        <v>155</v>
      </c>
      <c r="K42" s="23"/>
      <c r="L42" s="23"/>
      <c r="M42" s="23"/>
      <c r="N42" s="23"/>
      <c r="O42" s="23">
        <v>187.08</v>
      </c>
      <c r="P42" s="23"/>
      <c r="Q42" s="142" t="s">
        <v>58</v>
      </c>
      <c r="R42" s="155" t="s">
        <v>137</v>
      </c>
      <c r="S42" s="147">
        <f>COUNTIF(Q$7:Q42,"Y")</f>
        <v>0</v>
      </c>
      <c r="T42"/>
      <c r="U42"/>
      <c r="V42"/>
      <c r="W42"/>
      <c r="X42"/>
      <c r="Y42"/>
      <c r="Z42"/>
      <c r="AA42"/>
      <c r="AB42"/>
      <c r="AC42" s="32"/>
    </row>
    <row r="43" spans="1:29" s="5" customFormat="1" ht="12.75" customHeight="1" x14ac:dyDescent="0.2">
      <c r="A43" s="148" t="str">
        <f t="shared" si="0"/>
        <v/>
      </c>
      <c r="B43" s="26" t="s">
        <v>137</v>
      </c>
      <c r="C43" s="29" t="s">
        <v>95</v>
      </c>
      <c r="D43" s="207" t="s">
        <v>66</v>
      </c>
      <c r="E43" s="19" t="s">
        <v>146</v>
      </c>
      <c r="F43" s="25">
        <v>16.489999999999998</v>
      </c>
      <c r="G43" s="25"/>
      <c r="H43" s="23">
        <v>2.75</v>
      </c>
      <c r="I43" s="192" t="s">
        <v>147</v>
      </c>
      <c r="J43" s="194" t="s">
        <v>155</v>
      </c>
      <c r="K43" s="23"/>
      <c r="L43" s="23"/>
      <c r="M43" s="23"/>
      <c r="N43" s="23"/>
      <c r="O43" s="23">
        <v>16.489999999999998</v>
      </c>
      <c r="P43" s="23"/>
      <c r="Q43" s="142" t="s">
        <v>58</v>
      </c>
      <c r="R43" s="155" t="s">
        <v>137</v>
      </c>
      <c r="S43" s="147">
        <f>COUNTIF(Q$7:Q43,"Y")</f>
        <v>0</v>
      </c>
      <c r="T43"/>
      <c r="U43"/>
      <c r="V43"/>
      <c r="W43"/>
      <c r="X43"/>
      <c r="Y43"/>
      <c r="Z43"/>
      <c r="AA43"/>
      <c r="AB43"/>
      <c r="AC43" s="32"/>
    </row>
    <row r="44" spans="1:29" ht="12.75" customHeight="1" x14ac:dyDescent="0.2">
      <c r="A44" s="148" t="str">
        <f t="shared" si="0"/>
        <v/>
      </c>
      <c r="B44" s="26" t="s">
        <v>147</v>
      </c>
      <c r="C44" s="29" t="s">
        <v>148</v>
      </c>
      <c r="D44" s="207" t="s">
        <v>66</v>
      </c>
      <c r="E44" s="19" t="s">
        <v>149</v>
      </c>
      <c r="F44" s="25">
        <v>558</v>
      </c>
      <c r="G44" s="25"/>
      <c r="H44" s="196">
        <v>93</v>
      </c>
      <c r="I44" s="192" t="s">
        <v>147</v>
      </c>
      <c r="J44" s="194" t="s">
        <v>155</v>
      </c>
      <c r="K44" s="23"/>
      <c r="L44" s="23"/>
      <c r="M44" s="23">
        <v>558</v>
      </c>
      <c r="N44" s="23"/>
      <c r="O44" s="23"/>
      <c r="P44" s="23"/>
      <c r="Q44" s="142" t="s">
        <v>58</v>
      </c>
      <c r="R44" s="155" t="s">
        <v>150</v>
      </c>
      <c r="S44" s="147">
        <f>COUNTIF(Q$7:Q44,"Y")</f>
        <v>0</v>
      </c>
    </row>
    <row r="45" spans="1:29" ht="12.75" customHeight="1" x14ac:dyDescent="0.2">
      <c r="A45" s="148" t="str">
        <f t="shared" si="0"/>
        <v/>
      </c>
      <c r="B45" s="26" t="s">
        <v>147</v>
      </c>
      <c r="C45" s="29" t="s">
        <v>64</v>
      </c>
      <c r="D45" s="189" t="s">
        <v>66</v>
      </c>
      <c r="E45" s="19" t="s">
        <v>151</v>
      </c>
      <c r="F45" s="25">
        <v>141.9</v>
      </c>
      <c r="G45" s="25"/>
      <c r="H45" s="23"/>
      <c r="I45" s="192" t="s">
        <v>147</v>
      </c>
      <c r="J45" s="194" t="s">
        <v>155</v>
      </c>
      <c r="K45" s="23"/>
      <c r="L45" s="23">
        <v>141.9</v>
      </c>
      <c r="M45" s="23"/>
      <c r="N45" s="23"/>
      <c r="O45" s="23"/>
      <c r="P45" s="23"/>
      <c r="Q45" s="142" t="s">
        <v>58</v>
      </c>
      <c r="R45" s="155" t="s">
        <v>150</v>
      </c>
      <c r="S45" s="147">
        <f>COUNTIF(Q$7:Q45,"Y")</f>
        <v>0</v>
      </c>
    </row>
    <row r="46" spans="1:29" ht="12.75" customHeight="1" x14ac:dyDescent="0.2">
      <c r="A46" s="148" t="str">
        <f t="shared" si="0"/>
        <v/>
      </c>
      <c r="B46" s="26" t="s">
        <v>147</v>
      </c>
      <c r="C46" s="29" t="s">
        <v>152</v>
      </c>
      <c r="D46" s="189" t="s">
        <v>66</v>
      </c>
      <c r="E46" s="19" t="s">
        <v>153</v>
      </c>
      <c r="F46" s="25">
        <v>35.6</v>
      </c>
      <c r="G46" s="25"/>
      <c r="H46" s="23"/>
      <c r="I46" s="192" t="s">
        <v>147</v>
      </c>
      <c r="J46" s="194" t="s">
        <v>155</v>
      </c>
      <c r="K46" s="23"/>
      <c r="L46" s="23">
        <v>35.6</v>
      </c>
      <c r="M46" s="23"/>
      <c r="N46" s="23"/>
      <c r="O46" s="23"/>
      <c r="P46" s="23"/>
      <c r="Q46" s="142" t="s">
        <v>58</v>
      </c>
      <c r="R46" s="155" t="s">
        <v>150</v>
      </c>
      <c r="S46" s="147">
        <f>COUNTIF(Q$7:Q46,"Y")</f>
        <v>0</v>
      </c>
    </row>
    <row r="47" spans="1:29" ht="12.75" customHeight="1" x14ac:dyDescent="0.2">
      <c r="A47" s="148" t="str">
        <f t="shared" si="0"/>
        <v/>
      </c>
      <c r="B47" s="26" t="s">
        <v>147</v>
      </c>
      <c r="C47" s="29" t="s">
        <v>123</v>
      </c>
      <c r="D47" s="189" t="s">
        <v>66</v>
      </c>
      <c r="E47" s="171" t="s">
        <v>154</v>
      </c>
      <c r="F47" s="172">
        <v>12</v>
      </c>
      <c r="G47" s="25"/>
      <c r="H47" s="23"/>
      <c r="I47" s="192" t="s">
        <v>147</v>
      </c>
      <c r="J47" s="194" t="s">
        <v>155</v>
      </c>
      <c r="K47" s="23"/>
      <c r="L47" s="23"/>
      <c r="M47" s="23">
        <v>12</v>
      </c>
      <c r="N47" s="23"/>
      <c r="O47" s="23"/>
      <c r="P47" s="23"/>
      <c r="Q47" s="142" t="s">
        <v>58</v>
      </c>
      <c r="R47" s="155" t="s">
        <v>150</v>
      </c>
      <c r="S47" s="147">
        <f>COUNTIF(Q$7:Q47,"Y")</f>
        <v>0</v>
      </c>
    </row>
    <row r="48" spans="1:29" ht="12.75" customHeight="1" x14ac:dyDescent="0.2">
      <c r="A48" s="148" t="str">
        <f t="shared" si="0"/>
        <v/>
      </c>
      <c r="B48" s="26" t="s">
        <v>147</v>
      </c>
      <c r="C48" s="29" t="s">
        <v>144</v>
      </c>
      <c r="D48" s="189" t="s">
        <v>66</v>
      </c>
      <c r="E48" s="19" t="s">
        <v>158</v>
      </c>
      <c r="F48" s="25">
        <v>1134.1600000000001</v>
      </c>
      <c r="G48" s="25"/>
      <c r="H48" s="23"/>
      <c r="I48" s="192" t="s">
        <v>147</v>
      </c>
      <c r="J48" s="194" t="s">
        <v>155</v>
      </c>
      <c r="K48" s="23"/>
      <c r="L48" s="23"/>
      <c r="M48" s="23"/>
      <c r="N48" s="23"/>
      <c r="O48" s="23">
        <v>1134.1600000000001</v>
      </c>
      <c r="P48" s="23"/>
      <c r="Q48" s="142" t="s">
        <v>58</v>
      </c>
      <c r="R48" s="155" t="s">
        <v>168</v>
      </c>
      <c r="S48" s="147">
        <f>COUNTIF(Q$7:Q48,"Y")</f>
        <v>0</v>
      </c>
    </row>
    <row r="49" spans="1:19" ht="12.75" customHeight="1" x14ac:dyDescent="0.2">
      <c r="A49" s="148" t="str">
        <f t="shared" si="0"/>
        <v/>
      </c>
      <c r="B49" s="26" t="s">
        <v>156</v>
      </c>
      <c r="C49" s="29" t="s">
        <v>157</v>
      </c>
      <c r="D49" s="189" t="s">
        <v>66</v>
      </c>
      <c r="E49" s="19" t="s">
        <v>159</v>
      </c>
      <c r="F49" s="25">
        <v>45</v>
      </c>
      <c r="G49" s="25"/>
      <c r="H49" s="23">
        <v>7.5</v>
      </c>
      <c r="I49" s="192" t="s">
        <v>156</v>
      </c>
      <c r="J49" s="194" t="s">
        <v>171</v>
      </c>
      <c r="K49" s="23"/>
      <c r="L49" s="23"/>
      <c r="M49" s="23">
        <v>45</v>
      </c>
      <c r="N49" s="23"/>
      <c r="O49" s="23"/>
      <c r="P49" s="23"/>
      <c r="Q49" s="142" t="s">
        <v>58</v>
      </c>
      <c r="R49" s="155" t="s">
        <v>168</v>
      </c>
      <c r="S49" s="147">
        <f>COUNTIF(Q$7:Q49,"Y")</f>
        <v>0</v>
      </c>
    </row>
    <row r="50" spans="1:19" ht="12.75" customHeight="1" x14ac:dyDescent="0.2">
      <c r="A50" s="148" t="str">
        <f t="shared" si="0"/>
        <v/>
      </c>
      <c r="B50" s="26" t="s">
        <v>156</v>
      </c>
      <c r="C50" s="29" t="s">
        <v>63</v>
      </c>
      <c r="D50" s="189" t="s">
        <v>66</v>
      </c>
      <c r="E50" s="19" t="s">
        <v>160</v>
      </c>
      <c r="F50" s="25">
        <v>35.4</v>
      </c>
      <c r="G50" s="25"/>
      <c r="H50" s="23"/>
      <c r="I50" s="192" t="s">
        <v>156</v>
      </c>
      <c r="J50" s="194" t="s">
        <v>171</v>
      </c>
      <c r="K50" s="23"/>
      <c r="L50" s="23">
        <v>35.4</v>
      </c>
      <c r="M50" s="23"/>
      <c r="N50" s="23"/>
      <c r="O50" s="23"/>
      <c r="P50" s="23"/>
      <c r="Q50" s="142" t="s">
        <v>58</v>
      </c>
      <c r="R50" s="155" t="s">
        <v>169</v>
      </c>
      <c r="S50" s="147">
        <f>COUNTIF(Q$7:Q50,"Y")</f>
        <v>0</v>
      </c>
    </row>
    <row r="51" spans="1:19" ht="12.75" customHeight="1" x14ac:dyDescent="0.2">
      <c r="A51" s="148" t="str">
        <f t="shared" si="0"/>
        <v/>
      </c>
      <c r="B51" s="26" t="s">
        <v>156</v>
      </c>
      <c r="C51" s="29" t="s">
        <v>74</v>
      </c>
      <c r="D51" s="189" t="s">
        <v>66</v>
      </c>
      <c r="E51" s="19" t="s">
        <v>161</v>
      </c>
      <c r="F51" s="25">
        <v>142.1</v>
      </c>
      <c r="G51" s="25"/>
      <c r="H51" s="23"/>
      <c r="I51" s="192" t="s">
        <v>156</v>
      </c>
      <c r="J51" s="194" t="s">
        <v>171</v>
      </c>
      <c r="K51" s="23"/>
      <c r="L51" s="23">
        <v>142.1</v>
      </c>
      <c r="M51" s="23"/>
      <c r="N51" s="23"/>
      <c r="O51" s="23"/>
      <c r="P51" s="23"/>
      <c r="Q51" s="142" t="s">
        <v>58</v>
      </c>
      <c r="R51" s="165" t="s">
        <v>169</v>
      </c>
      <c r="S51" s="147">
        <f>COUNTIF(Q$7:Q51,"Y")</f>
        <v>0</v>
      </c>
    </row>
    <row r="52" spans="1:19" ht="12.75" customHeight="1" x14ac:dyDescent="0.2">
      <c r="A52" s="148" t="str">
        <f t="shared" si="0"/>
        <v/>
      </c>
      <c r="B52" s="26" t="s">
        <v>156</v>
      </c>
      <c r="C52" s="29" t="s">
        <v>123</v>
      </c>
      <c r="D52" s="189" t="s">
        <v>66</v>
      </c>
      <c r="E52" s="171" t="s">
        <v>162</v>
      </c>
      <c r="F52" s="172">
        <v>12</v>
      </c>
      <c r="G52" s="25"/>
      <c r="H52" s="23"/>
      <c r="I52" s="192" t="s">
        <v>156</v>
      </c>
      <c r="J52" s="194" t="s">
        <v>171</v>
      </c>
      <c r="K52" s="23"/>
      <c r="L52" s="23"/>
      <c r="M52" s="23">
        <v>12</v>
      </c>
      <c r="N52" s="23"/>
      <c r="O52" s="23"/>
      <c r="P52" s="23"/>
      <c r="Q52" s="142" t="s">
        <v>58</v>
      </c>
      <c r="R52" s="165" t="s">
        <v>169</v>
      </c>
      <c r="S52" s="147">
        <f>COUNTIF(Q$7:Q52,"Y")</f>
        <v>0</v>
      </c>
    </row>
    <row r="53" spans="1:19" ht="12.75" customHeight="1" x14ac:dyDescent="0.2">
      <c r="A53" s="148" t="str">
        <f t="shared" si="0"/>
        <v/>
      </c>
      <c r="B53" s="26" t="s">
        <v>164</v>
      </c>
      <c r="C53" s="29" t="s">
        <v>100</v>
      </c>
      <c r="D53" s="189" t="s">
        <v>66</v>
      </c>
      <c r="E53" s="19" t="s">
        <v>163</v>
      </c>
      <c r="F53" s="25">
        <v>32.97</v>
      </c>
      <c r="G53" s="25"/>
      <c r="H53" s="23">
        <v>5.49</v>
      </c>
      <c r="I53" s="192" t="s">
        <v>156</v>
      </c>
      <c r="J53" s="194" t="s">
        <v>185</v>
      </c>
      <c r="K53" s="23"/>
      <c r="L53" s="23"/>
      <c r="M53" s="23">
        <v>32.97</v>
      </c>
      <c r="N53" s="23"/>
      <c r="O53" s="23"/>
      <c r="P53" s="23"/>
      <c r="Q53" s="142" t="s">
        <v>58</v>
      </c>
      <c r="R53" s="165" t="s">
        <v>169</v>
      </c>
      <c r="S53" s="147">
        <f>COUNTIF(Q$7:Q53,"Y")</f>
        <v>0</v>
      </c>
    </row>
    <row r="54" spans="1:19" ht="12.75" customHeight="1" x14ac:dyDescent="0.2">
      <c r="A54" s="148" t="str">
        <f t="shared" si="0"/>
        <v/>
      </c>
      <c r="B54" s="26" t="s">
        <v>164</v>
      </c>
      <c r="C54" s="29" t="s">
        <v>100</v>
      </c>
      <c r="D54" s="189" t="s">
        <v>66</v>
      </c>
      <c r="E54" s="19" t="s">
        <v>165</v>
      </c>
      <c r="F54" s="25">
        <v>9.17</v>
      </c>
      <c r="G54" s="25"/>
      <c r="H54" s="23"/>
      <c r="I54" s="192" t="s">
        <v>156</v>
      </c>
      <c r="J54" s="194" t="s">
        <v>185</v>
      </c>
      <c r="K54" s="23"/>
      <c r="L54" s="23"/>
      <c r="M54" s="23">
        <v>9.17</v>
      </c>
      <c r="N54" s="23"/>
      <c r="O54" s="23"/>
      <c r="P54" s="23"/>
      <c r="Q54" s="142" t="s">
        <v>58</v>
      </c>
      <c r="R54" s="165" t="s">
        <v>169</v>
      </c>
      <c r="S54" s="147">
        <f>COUNTIF(Q$7:Q54,"Y")</f>
        <v>0</v>
      </c>
    </row>
    <row r="55" spans="1:19" ht="12.75" customHeight="1" x14ac:dyDescent="0.2">
      <c r="A55" s="148" t="str">
        <f t="shared" si="0"/>
        <v/>
      </c>
      <c r="B55" s="168" t="s">
        <v>174</v>
      </c>
      <c r="C55" s="169" t="s">
        <v>175</v>
      </c>
      <c r="D55" s="210" t="s">
        <v>66</v>
      </c>
      <c r="E55" s="171" t="s">
        <v>78</v>
      </c>
      <c r="F55" s="172">
        <v>35</v>
      </c>
      <c r="G55" s="25"/>
      <c r="H55" s="23"/>
      <c r="I55" s="192" t="s">
        <v>156</v>
      </c>
      <c r="J55" s="194" t="s">
        <v>171</v>
      </c>
      <c r="K55" s="23"/>
      <c r="L55" s="23"/>
      <c r="M55" s="23">
        <v>35</v>
      </c>
      <c r="N55" s="23"/>
      <c r="O55" s="23"/>
      <c r="P55" s="23"/>
      <c r="Q55" s="142" t="s">
        <v>58</v>
      </c>
      <c r="R55" s="165" t="s">
        <v>174</v>
      </c>
      <c r="S55" s="147">
        <f>COUNTIF(Q$7:Q55,"Y")</f>
        <v>0</v>
      </c>
    </row>
    <row r="56" spans="1:19" ht="12.75" customHeight="1" x14ac:dyDescent="0.2">
      <c r="A56" s="148" t="str">
        <f t="shared" si="0"/>
        <v/>
      </c>
      <c r="B56" s="168" t="s">
        <v>176</v>
      </c>
      <c r="C56" s="169" t="s">
        <v>74</v>
      </c>
      <c r="D56" s="210" t="s">
        <v>66</v>
      </c>
      <c r="E56" s="171" t="s">
        <v>177</v>
      </c>
      <c r="F56" s="172">
        <v>172.3</v>
      </c>
      <c r="G56" s="25"/>
      <c r="H56" s="23"/>
      <c r="I56" s="192" t="s">
        <v>182</v>
      </c>
      <c r="J56" s="194" t="s">
        <v>183</v>
      </c>
      <c r="K56" s="23"/>
      <c r="L56" s="23">
        <v>172.3</v>
      </c>
      <c r="M56" s="23"/>
      <c r="N56" s="23"/>
      <c r="O56" s="23"/>
      <c r="P56" s="23"/>
      <c r="Q56" s="142" t="s">
        <v>58</v>
      </c>
      <c r="R56" s="38" t="s">
        <v>176</v>
      </c>
      <c r="S56" s="147">
        <f>COUNTIF(Q$7:Q56,"Y")</f>
        <v>0</v>
      </c>
    </row>
    <row r="57" spans="1:19" ht="12.75" customHeight="1" x14ac:dyDescent="0.2">
      <c r="A57" s="148" t="str">
        <f t="shared" si="0"/>
        <v/>
      </c>
      <c r="B57" s="168" t="s">
        <v>176</v>
      </c>
      <c r="C57" s="169" t="s">
        <v>63</v>
      </c>
      <c r="D57" s="210" t="s">
        <v>66</v>
      </c>
      <c r="E57" s="171" t="s">
        <v>178</v>
      </c>
      <c r="F57" s="172">
        <v>43.2</v>
      </c>
      <c r="G57" s="25"/>
      <c r="H57" s="23"/>
      <c r="I57" s="192" t="s">
        <v>182</v>
      </c>
      <c r="J57" s="194" t="s">
        <v>183</v>
      </c>
      <c r="K57" s="23"/>
      <c r="L57" s="23">
        <v>43.2</v>
      </c>
      <c r="M57" s="23"/>
      <c r="N57" s="23"/>
      <c r="O57" s="23"/>
      <c r="P57" s="23"/>
      <c r="Q57" s="142" t="s">
        <v>58</v>
      </c>
      <c r="R57" s="38" t="s">
        <v>176</v>
      </c>
      <c r="S57" s="147">
        <f>COUNTIF(Q$7:Q57,"Y")</f>
        <v>0</v>
      </c>
    </row>
    <row r="58" spans="1:19" ht="12.75" customHeight="1" x14ac:dyDescent="0.2">
      <c r="A58" s="148" t="str">
        <f t="shared" si="0"/>
        <v/>
      </c>
      <c r="B58" s="168" t="s">
        <v>176</v>
      </c>
      <c r="C58" s="169" t="s">
        <v>179</v>
      </c>
      <c r="D58" s="210" t="s">
        <v>66</v>
      </c>
      <c r="E58" s="171" t="s">
        <v>180</v>
      </c>
      <c r="F58" s="172">
        <v>75.05</v>
      </c>
      <c r="G58" s="25"/>
      <c r="H58" s="23">
        <v>12.51</v>
      </c>
      <c r="I58" s="192" t="s">
        <v>182</v>
      </c>
      <c r="J58" s="194" t="s">
        <v>183</v>
      </c>
      <c r="K58" s="23"/>
      <c r="L58" s="23"/>
      <c r="M58" s="23">
        <v>75.05</v>
      </c>
      <c r="N58" s="23"/>
      <c r="O58" s="23"/>
      <c r="P58" s="23"/>
      <c r="Q58" s="142" t="s">
        <v>58</v>
      </c>
      <c r="R58" s="38" t="s">
        <v>176</v>
      </c>
      <c r="S58" s="147">
        <f>COUNTIF(Q$7:Q58,"Y")</f>
        <v>0</v>
      </c>
    </row>
    <row r="59" spans="1:19" ht="12.75" customHeight="1" x14ac:dyDescent="0.2">
      <c r="A59" s="148" t="str">
        <f t="shared" si="0"/>
        <v/>
      </c>
      <c r="B59" s="168"/>
      <c r="C59" s="169"/>
      <c r="D59" s="170"/>
      <c r="E59" s="171"/>
      <c r="F59" s="172"/>
      <c r="G59" s="25"/>
      <c r="H59" s="23"/>
      <c r="I59" s="192"/>
      <c r="J59" s="194"/>
      <c r="K59" s="23"/>
      <c r="L59" s="23"/>
      <c r="M59" s="23"/>
      <c r="N59" s="23"/>
      <c r="O59" s="23"/>
      <c r="P59" s="23"/>
      <c r="Q59" s="142"/>
      <c r="S59" s="147">
        <f>COUNTIF(Q$7:Q59,"Y")</f>
        <v>0</v>
      </c>
    </row>
    <row r="60" spans="1:19" ht="12.75" customHeight="1" x14ac:dyDescent="0.2">
      <c r="A60" s="148" t="str">
        <f t="shared" si="0"/>
        <v/>
      </c>
      <c r="B60" s="26"/>
      <c r="C60" s="29"/>
      <c r="D60" s="103"/>
      <c r="E60" s="19"/>
      <c r="F60" s="25"/>
      <c r="G60" s="25"/>
      <c r="H60" s="23"/>
      <c r="I60" s="192"/>
      <c r="J60" s="194"/>
      <c r="K60" s="23"/>
      <c r="L60" s="23"/>
      <c r="M60" s="23"/>
      <c r="N60" s="23"/>
      <c r="O60" s="23"/>
      <c r="P60" s="23"/>
      <c r="Q60" s="142"/>
      <c r="S60" s="147">
        <f>COUNTIF(Q$7:Q60,"Y")</f>
        <v>0</v>
      </c>
    </row>
    <row r="61" spans="1:19" ht="12.75" customHeight="1" x14ac:dyDescent="0.2">
      <c r="A61" s="148" t="str">
        <f t="shared" si="0"/>
        <v/>
      </c>
      <c r="B61" s="26"/>
      <c r="C61" s="29"/>
      <c r="D61" s="103"/>
      <c r="E61" s="19"/>
      <c r="F61" s="25"/>
      <c r="G61" s="25"/>
      <c r="H61" s="23"/>
      <c r="I61" s="192"/>
      <c r="J61" s="194"/>
      <c r="K61" s="23"/>
      <c r="L61" s="23"/>
      <c r="M61" s="23"/>
      <c r="N61" s="23"/>
      <c r="O61" s="23"/>
      <c r="P61" s="23"/>
      <c r="Q61" s="142"/>
      <c r="S61" s="147">
        <f>COUNTIF(Q$7:Q61,"Y")</f>
        <v>0</v>
      </c>
    </row>
    <row r="62" spans="1:19" ht="12.75" customHeight="1" x14ac:dyDescent="0.2">
      <c r="A62" s="148" t="str">
        <f t="shared" si="0"/>
        <v/>
      </c>
      <c r="B62" s="26"/>
      <c r="C62" s="29"/>
      <c r="D62" s="103"/>
      <c r="E62" s="19"/>
      <c r="F62" s="25"/>
      <c r="G62" s="25"/>
      <c r="H62" s="23"/>
      <c r="I62" s="192"/>
      <c r="J62" s="194"/>
      <c r="K62" s="23"/>
      <c r="L62" s="23"/>
      <c r="M62" s="23"/>
      <c r="N62" s="23"/>
      <c r="O62" s="23"/>
      <c r="P62" s="23"/>
      <c r="Q62" s="142" t="str">
        <f>IF(ISBLANK(B62),"",IF(R62&lt;Rec!$E$2,"Y","N"))</f>
        <v/>
      </c>
      <c r="S62" s="147">
        <f>COUNTIF(Q$7:Q62,"Y")</f>
        <v>0</v>
      </c>
    </row>
    <row r="63" spans="1:19" ht="12.75" customHeight="1" x14ac:dyDescent="0.2">
      <c r="A63" s="148" t="str">
        <f t="shared" si="0"/>
        <v/>
      </c>
      <c r="B63" s="26"/>
      <c r="C63" s="29"/>
      <c r="D63" s="103"/>
      <c r="E63" s="19"/>
      <c r="F63" s="25"/>
      <c r="G63" s="25"/>
      <c r="H63" s="23"/>
      <c r="I63" s="192"/>
      <c r="J63" s="194"/>
      <c r="K63" s="23"/>
      <c r="L63" s="23"/>
      <c r="M63" s="23"/>
      <c r="N63" s="23"/>
      <c r="O63" s="23"/>
      <c r="P63" s="23"/>
      <c r="Q63" s="142" t="str">
        <f>IF(ISBLANK(B63),"",IF(R63&lt;Rec!$E$2,"Y","N"))</f>
        <v/>
      </c>
      <c r="S63" s="147">
        <f>COUNTIF(Q$7:Q63,"Y")</f>
        <v>0</v>
      </c>
    </row>
    <row r="64" spans="1:19" ht="12.75" customHeight="1" x14ac:dyDescent="0.2">
      <c r="A64" s="148" t="str">
        <f t="shared" si="0"/>
        <v/>
      </c>
      <c r="B64" s="26"/>
      <c r="C64" s="29"/>
      <c r="D64" s="103"/>
      <c r="E64" s="19"/>
      <c r="F64" s="25"/>
      <c r="G64" s="25"/>
      <c r="H64" s="23"/>
      <c r="I64" s="192"/>
      <c r="J64" s="194"/>
      <c r="K64" s="23"/>
      <c r="L64" s="23"/>
      <c r="M64" s="23"/>
      <c r="N64" s="23"/>
      <c r="O64" s="23"/>
      <c r="P64" s="23"/>
      <c r="Q64" s="142" t="str">
        <f>IF(ISBLANK(B64),"",IF(R64&lt;Rec!$E$2,"Y","N"))</f>
        <v/>
      </c>
      <c r="S64" s="147">
        <f>COUNTIF(Q$7:Q64,"Y")</f>
        <v>0</v>
      </c>
    </row>
    <row r="65" spans="1:19" ht="12.75" customHeight="1" x14ac:dyDescent="0.2">
      <c r="A65" s="148" t="str">
        <f t="shared" si="0"/>
        <v/>
      </c>
      <c r="B65" s="26"/>
      <c r="C65" s="29"/>
      <c r="D65" s="103"/>
      <c r="E65" s="19"/>
      <c r="F65" s="25"/>
      <c r="G65" s="25"/>
      <c r="H65" s="23"/>
      <c r="I65" s="192"/>
      <c r="J65" s="194"/>
      <c r="K65" s="23"/>
      <c r="L65" s="23"/>
      <c r="M65" s="23"/>
      <c r="N65" s="23"/>
      <c r="O65" s="23"/>
      <c r="P65" s="23"/>
      <c r="Q65" s="142" t="str">
        <f>IF(ISBLANK(B65),"",IF(R65&lt;Rec!$E$2,"Y","N"))</f>
        <v/>
      </c>
      <c r="S65" s="147">
        <f>COUNTIF(Q$7:Q65,"Y")</f>
        <v>0</v>
      </c>
    </row>
    <row r="66" spans="1:19" ht="12.75" customHeight="1" x14ac:dyDescent="0.2">
      <c r="A66" s="148" t="str">
        <f t="shared" si="0"/>
        <v/>
      </c>
      <c r="B66" s="26"/>
      <c r="C66" s="29"/>
      <c r="D66" s="103"/>
      <c r="E66" s="19"/>
      <c r="F66" s="25"/>
      <c r="G66" s="25"/>
      <c r="H66" s="23"/>
      <c r="I66" s="192"/>
      <c r="J66" s="194"/>
      <c r="K66" s="23"/>
      <c r="L66" s="23"/>
      <c r="M66" s="23"/>
      <c r="N66" s="23"/>
      <c r="O66" s="23"/>
      <c r="P66" s="23"/>
      <c r="Q66" s="142" t="str">
        <f>IF(ISBLANK(B66),"",IF(R66&lt;Rec!$E$2,"Y","N"))</f>
        <v/>
      </c>
      <c r="S66" s="147">
        <f>COUNTIF(Q$7:Q66,"Y")</f>
        <v>0</v>
      </c>
    </row>
    <row r="67" spans="1:19" ht="12.75" customHeight="1" x14ac:dyDescent="0.2">
      <c r="A67" s="148" t="str">
        <f t="shared" si="0"/>
        <v/>
      </c>
      <c r="B67" s="26"/>
      <c r="C67" s="29"/>
      <c r="D67" s="103"/>
      <c r="E67" s="19"/>
      <c r="F67" s="25"/>
      <c r="G67" s="25"/>
      <c r="H67" s="23"/>
      <c r="I67" s="192"/>
      <c r="J67" s="194"/>
      <c r="K67" s="23"/>
      <c r="L67" s="23"/>
      <c r="M67" s="23"/>
      <c r="N67" s="23"/>
      <c r="O67" s="23"/>
      <c r="P67" s="23"/>
      <c r="Q67" s="142" t="str">
        <f>IF(ISBLANK(B67),"",IF(R67&lt;Rec!$E$2,"Y","N"))</f>
        <v/>
      </c>
      <c r="S67" s="147">
        <f>COUNTIF(Q$7:Q67,"Y")</f>
        <v>0</v>
      </c>
    </row>
    <row r="68" spans="1:19" ht="12.75" customHeight="1" x14ac:dyDescent="0.2">
      <c r="A68" s="148" t="str">
        <f t="shared" si="0"/>
        <v/>
      </c>
      <c r="B68" s="26"/>
      <c r="C68" s="29"/>
      <c r="D68" s="103"/>
      <c r="E68" s="19"/>
      <c r="F68" s="25"/>
      <c r="G68" s="25"/>
      <c r="H68" s="23"/>
      <c r="I68" s="192"/>
      <c r="J68" s="194"/>
      <c r="K68" s="23"/>
      <c r="L68" s="23"/>
      <c r="M68" s="23"/>
      <c r="N68" s="23"/>
      <c r="O68" s="23"/>
      <c r="P68" s="23"/>
      <c r="Q68" s="142"/>
      <c r="S68" s="147">
        <f>COUNTIF(Q$7:Q68,"Y")</f>
        <v>0</v>
      </c>
    </row>
    <row r="69" spans="1:19" ht="12.75" customHeight="1" x14ac:dyDescent="0.2">
      <c r="A69" s="148" t="str">
        <f t="shared" si="0"/>
        <v/>
      </c>
      <c r="B69" s="26"/>
      <c r="C69" s="29"/>
      <c r="D69" s="103"/>
      <c r="E69" s="19"/>
      <c r="F69" s="25"/>
      <c r="G69" s="25"/>
      <c r="H69" s="23"/>
      <c r="I69" s="192"/>
      <c r="J69" s="194"/>
      <c r="K69" s="23"/>
      <c r="L69" s="23"/>
      <c r="M69" s="23"/>
      <c r="N69" s="23"/>
      <c r="O69" s="23"/>
      <c r="P69" s="23"/>
      <c r="Q69" s="142"/>
      <c r="S69" s="147">
        <f>COUNTIF(Q$7:Q69,"Y")</f>
        <v>0</v>
      </c>
    </row>
    <row r="70" spans="1:19" ht="12.75" customHeight="1" x14ac:dyDescent="0.2">
      <c r="B70" s="26" t="s">
        <v>27</v>
      </c>
      <c r="C70" s="29"/>
      <c r="D70" s="103"/>
      <c r="E70" s="19"/>
      <c r="F70" s="25">
        <f>SUM(F8:F69)</f>
        <v>6468.99</v>
      </c>
      <c r="G70" s="25">
        <f>SUM(G13:G69)</f>
        <v>0</v>
      </c>
      <c r="H70" s="25">
        <f>SUM(H8:H69)</f>
        <v>164.53</v>
      </c>
      <c r="I70" s="22" t="s">
        <v>27</v>
      </c>
      <c r="J70" s="24" t="s">
        <v>55</v>
      </c>
      <c r="K70" s="23"/>
      <c r="L70" s="25">
        <f>SUM(L8:L69)</f>
        <v>2168</v>
      </c>
      <c r="M70" s="25">
        <f>SUM(M8:M69)</f>
        <v>2713.2599999999998</v>
      </c>
      <c r="N70" s="25">
        <f>SUM(N8:N69)</f>
        <v>250</v>
      </c>
      <c r="O70" s="25">
        <f>SUM(O8:O69)</f>
        <v>1337.73</v>
      </c>
      <c r="P70" s="23"/>
      <c r="Q70" s="142"/>
      <c r="S70" s="145"/>
    </row>
    <row r="71" spans="1:19" ht="12.75" customHeight="1" x14ac:dyDescent="0.2">
      <c r="B71" s="9"/>
      <c r="F71" s="20"/>
      <c r="G71" s="20"/>
      <c r="H71" s="28"/>
      <c r="I71" s="198"/>
      <c r="J71" s="199"/>
      <c r="K71" s="28"/>
      <c r="L71" s="28"/>
      <c r="M71" s="28"/>
      <c r="N71" s="28"/>
      <c r="O71" s="28"/>
      <c r="P71" s="28"/>
      <c r="Q71" s="143"/>
      <c r="S71" s="145"/>
    </row>
    <row r="72" spans="1:19" ht="12.75" customHeight="1" x14ac:dyDescent="0.2">
      <c r="B72" s="9"/>
      <c r="F72" s="20"/>
      <c r="G72" s="20"/>
      <c r="H72" s="35"/>
      <c r="J72" s="199"/>
      <c r="K72" s="27" t="s">
        <v>19</v>
      </c>
      <c r="L72" s="28"/>
      <c r="M72" s="28"/>
      <c r="N72" s="28"/>
      <c r="O72" s="28"/>
      <c r="P72" s="28"/>
      <c r="Q72" s="143"/>
      <c r="S72" s="145"/>
    </row>
    <row r="73" spans="1:19" ht="12.75" customHeight="1" x14ac:dyDescent="0.2">
      <c r="B73" s="9"/>
      <c r="F73" s="20"/>
      <c r="G73" s="20"/>
      <c r="H73" s="28"/>
      <c r="I73" s="198"/>
      <c r="J73" s="199"/>
      <c r="K73" s="27" t="s">
        <v>20</v>
      </c>
      <c r="L73" s="28"/>
      <c r="M73" s="28"/>
      <c r="N73" s="28"/>
      <c r="O73" s="28"/>
      <c r="P73" s="28"/>
      <c r="Q73" s="143"/>
      <c r="S73" s="145"/>
    </row>
    <row r="74" spans="1:19" ht="12.75" customHeight="1" x14ac:dyDescent="0.2">
      <c r="B74" s="9"/>
      <c r="F74" s="20"/>
      <c r="G74" s="20"/>
      <c r="H74" s="28"/>
      <c r="I74" s="198"/>
      <c r="J74" s="199"/>
      <c r="K74" s="27" t="s">
        <v>21</v>
      </c>
      <c r="L74" s="28"/>
      <c r="M74" s="28"/>
      <c r="N74" s="28"/>
      <c r="O74" s="28"/>
      <c r="P74" s="28"/>
      <c r="Q74" s="143"/>
      <c r="S74" s="145"/>
    </row>
    <row r="75" spans="1:19" ht="12.75" customHeight="1" x14ac:dyDescent="0.2">
      <c r="B75" s="9"/>
      <c r="F75" s="20"/>
      <c r="G75" s="20"/>
      <c r="H75" s="28"/>
      <c r="I75" s="198"/>
      <c r="J75" s="199"/>
      <c r="K75" s="27"/>
      <c r="L75" s="28"/>
      <c r="M75" s="28"/>
      <c r="N75" s="28"/>
      <c r="O75" s="28"/>
      <c r="P75" s="28"/>
      <c r="Q75" s="143"/>
      <c r="S75" s="145"/>
    </row>
    <row r="76" spans="1:19" ht="12.75" customHeight="1" x14ac:dyDescent="0.2">
      <c r="B76" s="9"/>
      <c r="F76" s="20"/>
      <c r="G76" s="20"/>
      <c r="H76" s="28"/>
      <c r="I76" s="198"/>
      <c r="J76" s="199"/>
      <c r="K76" s="36" t="s">
        <v>22</v>
      </c>
      <c r="M76" s="28"/>
      <c r="N76" s="28"/>
      <c r="O76" s="28"/>
      <c r="P76" s="28"/>
      <c r="Q76" s="143"/>
      <c r="S76" s="145"/>
    </row>
    <row r="77" spans="1:19" ht="12.75" customHeight="1" x14ac:dyDescent="0.2">
      <c r="B77" s="9"/>
      <c r="F77" s="20"/>
      <c r="G77" s="20"/>
      <c r="H77" s="28"/>
      <c r="I77" s="198"/>
      <c r="J77" s="199"/>
      <c r="K77" s="27" t="s">
        <v>23</v>
      </c>
      <c r="L77" s="28"/>
      <c r="M77" s="28"/>
      <c r="N77" s="28"/>
      <c r="O77" s="28"/>
      <c r="P77" s="28"/>
      <c r="Q77" s="143"/>
      <c r="S77" s="145"/>
    </row>
    <row r="78" spans="1:19" ht="12.75" customHeight="1" x14ac:dyDescent="0.2">
      <c r="B78" s="9"/>
      <c r="E78" s="37"/>
      <c r="F78" s="20"/>
      <c r="G78" s="20"/>
      <c r="H78" s="28"/>
      <c r="I78" s="198"/>
      <c r="J78" s="199"/>
      <c r="K78" s="27" t="s">
        <v>24</v>
      </c>
      <c r="L78" s="28"/>
      <c r="M78" s="28"/>
      <c r="N78" s="28"/>
      <c r="O78" s="28"/>
      <c r="P78" s="28"/>
      <c r="Q78" s="143"/>
      <c r="S78" s="145"/>
    </row>
    <row r="79" spans="1:19" ht="12.75" customHeight="1" x14ac:dyDescent="0.2">
      <c r="B79" s="9"/>
      <c r="F79" s="20"/>
      <c r="G79" s="20"/>
      <c r="H79" s="28"/>
      <c r="I79" s="198"/>
      <c r="J79" s="199"/>
      <c r="K79" s="28"/>
      <c r="M79" s="28"/>
      <c r="N79" s="28"/>
      <c r="O79" s="28"/>
      <c r="P79" s="28"/>
      <c r="Q79" s="143"/>
      <c r="S79" s="145"/>
    </row>
    <row r="80" spans="1:19" ht="12.75" customHeight="1" x14ac:dyDescent="0.2">
      <c r="B80" s="9"/>
      <c r="F80" s="20"/>
      <c r="G80" s="20"/>
      <c r="H80" s="28"/>
      <c r="I80" s="198"/>
      <c r="J80" s="199"/>
      <c r="K80" s="28"/>
      <c r="L80" s="28"/>
      <c r="M80" s="28"/>
      <c r="N80" s="28"/>
      <c r="O80" s="28"/>
      <c r="P80" s="28"/>
      <c r="Q80" s="143"/>
      <c r="S80" s="145"/>
    </row>
    <row r="81" spans="2:19" ht="12.75" customHeight="1" x14ac:dyDescent="0.2">
      <c r="B81" s="9"/>
      <c r="F81" s="20"/>
      <c r="G81" s="20"/>
      <c r="H81" s="28"/>
      <c r="I81" s="198"/>
      <c r="J81" s="199"/>
      <c r="K81" s="35" t="s">
        <v>25</v>
      </c>
      <c r="L81" s="28"/>
      <c r="M81" s="28"/>
      <c r="N81" s="28"/>
      <c r="O81" s="28"/>
      <c r="P81" s="28"/>
      <c r="Q81" s="143"/>
      <c r="S81" s="145"/>
    </row>
    <row r="82" spans="2:19" ht="12.75" customHeight="1" x14ac:dyDescent="0.2">
      <c r="B82" s="9"/>
      <c r="F82" s="20"/>
      <c r="G82" s="20"/>
      <c r="H82" s="28"/>
      <c r="I82" s="198"/>
      <c r="J82" s="199"/>
      <c r="K82" s="35" t="s">
        <v>26</v>
      </c>
      <c r="L82" s="28"/>
      <c r="M82" s="28"/>
      <c r="N82" s="28"/>
      <c r="O82" s="28"/>
      <c r="P82" s="28"/>
      <c r="Q82" s="143"/>
      <c r="S82" s="145"/>
    </row>
    <row r="83" spans="2:19" ht="12.75" customHeight="1" x14ac:dyDescent="0.2">
      <c r="B83" s="9"/>
      <c r="F83" s="20"/>
      <c r="G83" s="20"/>
      <c r="H83" s="28"/>
      <c r="I83" s="198"/>
      <c r="J83" s="199"/>
      <c r="K83" s="28"/>
      <c r="L83" s="28"/>
      <c r="M83" s="28"/>
      <c r="N83" s="28"/>
      <c r="O83" s="28"/>
      <c r="P83" s="28"/>
      <c r="Q83" s="143"/>
      <c r="S83" s="145"/>
    </row>
    <row r="84" spans="2:19" ht="12.75" customHeight="1" x14ac:dyDescent="0.2">
      <c r="B84" s="9"/>
      <c r="F84" s="20"/>
      <c r="G84" s="20"/>
      <c r="H84" s="28"/>
      <c r="I84" s="198"/>
      <c r="J84" s="199"/>
      <c r="K84" s="28"/>
      <c r="L84" s="28"/>
      <c r="M84" s="28"/>
      <c r="N84" s="28"/>
      <c r="O84" s="28"/>
      <c r="P84" s="28"/>
      <c r="Q84" s="143"/>
      <c r="S84" s="145"/>
    </row>
    <row r="85" spans="2:19" ht="12.75" customHeight="1" x14ac:dyDescent="0.2">
      <c r="B85" s="9"/>
      <c r="F85" s="20"/>
      <c r="G85" s="20"/>
      <c r="H85" s="28"/>
      <c r="I85" s="198"/>
      <c r="J85" s="199"/>
      <c r="K85" s="28"/>
      <c r="L85" s="28"/>
      <c r="M85" s="28"/>
      <c r="N85" s="28"/>
      <c r="O85" s="28"/>
      <c r="P85" s="28"/>
      <c r="Q85" s="143"/>
      <c r="S85" s="145"/>
    </row>
    <row r="86" spans="2:19" ht="12.75" customHeight="1" x14ac:dyDescent="0.2">
      <c r="B86" s="9"/>
      <c r="F86" s="20"/>
      <c r="G86" s="20"/>
      <c r="H86" s="28"/>
      <c r="I86" s="198"/>
      <c r="J86" s="199"/>
      <c r="K86" s="28"/>
      <c r="L86" s="28"/>
      <c r="M86" s="28"/>
      <c r="N86" s="28"/>
      <c r="O86" s="28"/>
      <c r="P86" s="28"/>
      <c r="Q86" s="143"/>
      <c r="S86" s="145"/>
    </row>
    <row r="87" spans="2:19" ht="12.75" customHeight="1" x14ac:dyDescent="0.2">
      <c r="B87" s="9"/>
      <c r="F87" s="20"/>
      <c r="G87" s="20"/>
      <c r="H87" s="28"/>
      <c r="I87" s="198"/>
      <c r="J87" s="199"/>
      <c r="K87" s="28"/>
      <c r="L87" s="28"/>
      <c r="M87" s="28"/>
      <c r="N87" s="28"/>
      <c r="O87" s="28"/>
      <c r="P87" s="28"/>
      <c r="Q87" s="143"/>
      <c r="S87" s="145"/>
    </row>
    <row r="88" spans="2:19" ht="12.75" customHeight="1" x14ac:dyDescent="0.2">
      <c r="B88" s="9"/>
      <c r="F88" s="20"/>
      <c r="G88" s="20"/>
      <c r="H88" s="28"/>
      <c r="I88" s="198"/>
      <c r="J88" s="199"/>
      <c r="K88" s="28"/>
      <c r="L88" s="28"/>
      <c r="M88" s="28"/>
      <c r="N88" s="28"/>
      <c r="O88" s="28"/>
      <c r="P88" s="28"/>
      <c r="Q88" s="143"/>
      <c r="S88" s="145"/>
    </row>
    <row r="89" spans="2:19" ht="12.75" customHeight="1" x14ac:dyDescent="0.2">
      <c r="B89" s="9"/>
      <c r="F89" s="20"/>
      <c r="G89" s="20"/>
      <c r="H89" s="28"/>
      <c r="I89" s="198"/>
      <c r="J89" s="199"/>
      <c r="K89" s="28"/>
      <c r="L89" s="28"/>
      <c r="M89" s="28"/>
      <c r="N89" s="28"/>
      <c r="O89" s="28"/>
      <c r="P89" s="28"/>
      <c r="Q89" s="143"/>
      <c r="S89" s="145"/>
    </row>
    <row r="90" spans="2:19" ht="12.75" customHeight="1" x14ac:dyDescent="0.2">
      <c r="B90" s="9"/>
      <c r="F90" s="20"/>
      <c r="G90" s="20"/>
      <c r="H90" s="28"/>
      <c r="I90" s="198"/>
      <c r="J90" s="199"/>
      <c r="K90" s="28"/>
      <c r="L90" s="28"/>
      <c r="M90" s="28"/>
      <c r="N90" s="28"/>
      <c r="O90" s="28"/>
      <c r="P90" s="28"/>
      <c r="Q90" s="143"/>
      <c r="S90" s="145"/>
    </row>
    <row r="91" spans="2:19" ht="12.75" customHeight="1" x14ac:dyDescent="0.2">
      <c r="B91" s="9"/>
      <c r="F91" s="20"/>
      <c r="G91" s="20"/>
      <c r="H91" s="28"/>
      <c r="I91" s="198"/>
      <c r="J91" s="199"/>
      <c r="K91" s="28"/>
      <c r="L91" s="28"/>
      <c r="M91" s="28"/>
      <c r="N91" s="28"/>
      <c r="O91" s="28"/>
      <c r="P91" s="28"/>
      <c r="Q91" s="143"/>
      <c r="S91" s="145"/>
    </row>
    <row r="92" spans="2:19" ht="12.75" customHeight="1" x14ac:dyDescent="0.2">
      <c r="B92" s="9"/>
      <c r="F92" s="20"/>
      <c r="G92" s="20"/>
      <c r="H92" s="28"/>
      <c r="I92" s="198"/>
      <c r="J92" s="199"/>
      <c r="K92" s="28"/>
      <c r="L92" s="28"/>
      <c r="M92" s="28"/>
      <c r="N92" s="28"/>
      <c r="O92" s="28"/>
      <c r="P92" s="28"/>
      <c r="Q92" s="143"/>
      <c r="S92" s="145"/>
    </row>
    <row r="93" spans="2:19" ht="12.75" customHeight="1" x14ac:dyDescent="0.2">
      <c r="B93" s="9"/>
      <c r="I93" s="198"/>
      <c r="J93" s="199"/>
      <c r="O93" s="2"/>
      <c r="P93" s="2"/>
      <c r="Q93" s="139"/>
      <c r="S93" s="145"/>
    </row>
    <row r="94" spans="2:19" ht="12.75" customHeight="1" x14ac:dyDescent="0.2">
      <c r="B94" s="9"/>
      <c r="I94" s="198"/>
      <c r="J94" s="199"/>
      <c r="O94" s="2"/>
      <c r="P94" s="2"/>
      <c r="Q94" s="139"/>
      <c r="S94" s="145"/>
    </row>
    <row r="95" spans="2:19" ht="12.75" customHeight="1" x14ac:dyDescent="0.2">
      <c r="B95" s="9"/>
      <c r="O95" s="2"/>
      <c r="P95" s="2"/>
      <c r="Q95" s="139"/>
      <c r="S95" s="145"/>
    </row>
    <row r="96" spans="2:19" ht="12.75" customHeight="1" x14ac:dyDescent="0.2">
      <c r="B96" s="9"/>
      <c r="O96" s="2"/>
      <c r="P96" s="2"/>
      <c r="Q96" s="139"/>
      <c r="S96" s="145"/>
    </row>
    <row r="97" spans="2:19" ht="12.75" customHeight="1" x14ac:dyDescent="0.2">
      <c r="B97" s="9"/>
      <c r="O97" s="2"/>
      <c r="P97" s="2"/>
      <c r="Q97" s="139"/>
      <c r="S97" s="145"/>
    </row>
    <row r="98" spans="2:19" ht="12.75" customHeight="1" x14ac:dyDescent="0.2">
      <c r="B98" s="9"/>
      <c r="O98" s="2"/>
      <c r="P98" s="2"/>
      <c r="Q98" s="139"/>
      <c r="S98" s="145"/>
    </row>
    <row r="99" spans="2:19" ht="12.75" customHeight="1" x14ac:dyDescent="0.2">
      <c r="B99" s="9"/>
      <c r="O99" s="2"/>
      <c r="P99" s="2"/>
      <c r="Q99" s="139"/>
      <c r="S99" s="145"/>
    </row>
    <row r="100" spans="2:19" ht="12.75" customHeight="1" x14ac:dyDescent="0.2">
      <c r="B100" s="9"/>
      <c r="O100" s="2"/>
      <c r="P100" s="2"/>
      <c r="Q100" s="139"/>
      <c r="S100" s="145"/>
    </row>
    <row r="101" spans="2:19" ht="12.75" customHeight="1" x14ac:dyDescent="0.2">
      <c r="B101" s="9"/>
      <c r="O101" s="2"/>
      <c r="P101" s="2"/>
      <c r="Q101" s="139"/>
      <c r="S101" s="145"/>
    </row>
    <row r="102" spans="2:19" ht="12.75" customHeight="1" x14ac:dyDescent="0.2">
      <c r="B102" s="9"/>
      <c r="O102" s="2"/>
      <c r="P102" s="2"/>
      <c r="Q102" s="139"/>
      <c r="S102" s="145"/>
    </row>
    <row r="103" spans="2:19" ht="12.75" customHeight="1" x14ac:dyDescent="0.2">
      <c r="B103" s="9"/>
      <c r="O103" s="2"/>
      <c r="P103" s="2"/>
      <c r="Q103" s="139"/>
      <c r="S103" s="145"/>
    </row>
    <row r="104" spans="2:19" ht="12.75" customHeight="1" x14ac:dyDescent="0.2">
      <c r="B104" s="9"/>
      <c r="O104" s="2"/>
      <c r="P104" s="2"/>
      <c r="Q104" s="139"/>
      <c r="S104" s="145"/>
    </row>
    <row r="105" spans="2:19" ht="12.75" customHeight="1" x14ac:dyDescent="0.2">
      <c r="B105" s="9"/>
      <c r="O105" s="2"/>
      <c r="P105" s="2"/>
      <c r="Q105" s="139"/>
      <c r="S105" s="145"/>
    </row>
    <row r="106" spans="2:19" ht="12.75" customHeight="1" x14ac:dyDescent="0.2">
      <c r="B106" s="9"/>
      <c r="O106" s="2"/>
      <c r="P106" s="2"/>
      <c r="Q106" s="139"/>
      <c r="S106" s="145"/>
    </row>
    <row r="107" spans="2:19" ht="12.75" customHeight="1" x14ac:dyDescent="0.2">
      <c r="B107" s="9"/>
      <c r="O107" s="2"/>
      <c r="P107" s="2"/>
      <c r="Q107" s="139"/>
      <c r="S107" s="145"/>
    </row>
    <row r="108" spans="2:19" ht="12.75" customHeight="1" x14ac:dyDescent="0.2">
      <c r="B108" s="9"/>
      <c r="O108" s="2"/>
      <c r="P108" s="2"/>
      <c r="Q108" s="139"/>
      <c r="S108" s="145"/>
    </row>
    <row r="109" spans="2:19" ht="12.75" customHeight="1" x14ac:dyDescent="0.2">
      <c r="B109" s="9"/>
      <c r="O109" s="2"/>
      <c r="P109" s="2"/>
      <c r="Q109" s="139"/>
      <c r="S109" s="145"/>
    </row>
    <row r="110" spans="2:19" ht="12.75" customHeight="1" x14ac:dyDescent="0.2">
      <c r="B110" s="9"/>
      <c r="O110" s="2"/>
      <c r="P110" s="2"/>
      <c r="Q110" s="139"/>
      <c r="S110" s="145"/>
    </row>
    <row r="111" spans="2:19" ht="12.75" customHeight="1" x14ac:dyDescent="0.2">
      <c r="B111" s="9"/>
      <c r="O111" s="2"/>
      <c r="P111" s="2"/>
      <c r="Q111" s="139"/>
      <c r="S111" s="145"/>
    </row>
    <row r="112" spans="2:19" ht="12.75" customHeight="1" x14ac:dyDescent="0.2">
      <c r="B112" s="9"/>
      <c r="O112" s="2"/>
      <c r="P112" s="2"/>
      <c r="Q112" s="139"/>
      <c r="S112" s="145"/>
    </row>
  </sheetData>
  <sheetProtection selectLockedCells="1" selectUnlockedCells="1"/>
  <autoFilter ref="B7:Q94" xr:uid="{00000000-0009-0000-0000-000001000000}"/>
  <mergeCells count="3">
    <mergeCell ref="B1:F1"/>
    <mergeCell ref="B3:D3"/>
    <mergeCell ref="G1:I1"/>
  </mergeCells>
  <pageMargins left="0.7" right="0.7" top="0.75" bottom="0.75" header="0.3" footer="0.3"/>
  <pageSetup paperSize="9" scale="46" firstPageNumber="0" orientation="landscape" horizontalDpi="360" verticalDpi="360" r:id="rId1"/>
  <headerFooter alignWithMargins="0">
    <oddHeader>&amp;C&amp;A</oddHeader>
    <oddFooter>&amp;CPage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A17" sqref="A17"/>
    </sheetView>
  </sheetViews>
  <sheetFormatPr defaultColWidth="11.5703125" defaultRowHeight="12.95" customHeight="1" x14ac:dyDescent="0.2"/>
  <cols>
    <col min="1" max="1" width="37.85546875" customWidth="1"/>
    <col min="2" max="7" width="12.85546875" customWidth="1"/>
  </cols>
  <sheetData>
    <row r="1" spans="1:7" ht="15.6" customHeight="1" x14ac:dyDescent="0.25">
      <c r="A1" s="221" t="s">
        <v>0</v>
      </c>
      <c r="B1" s="221"/>
      <c r="C1" s="221"/>
      <c r="D1" s="221"/>
      <c r="E1" s="221"/>
      <c r="F1" s="2"/>
    </row>
    <row r="2" spans="1:7" ht="12.75" x14ac:dyDescent="0.2">
      <c r="A2" s="38"/>
      <c r="B2" s="1"/>
      <c r="C2" s="1"/>
      <c r="D2" s="1"/>
    </row>
    <row r="3" spans="1:7" ht="13.35" customHeight="1" x14ac:dyDescent="0.2">
      <c r="A3" s="219" t="s">
        <v>59</v>
      </c>
      <c r="B3" s="219"/>
      <c r="C3" s="219"/>
      <c r="D3" s="219"/>
    </row>
    <row r="4" spans="1:7" ht="12.75" x14ac:dyDescent="0.2">
      <c r="B4" t="s">
        <v>4</v>
      </c>
      <c r="C4" t="s">
        <v>5</v>
      </c>
      <c r="D4" t="s">
        <v>27</v>
      </c>
    </row>
    <row r="5" spans="1:7" ht="12.75" x14ac:dyDescent="0.2">
      <c r="A5" s="39" t="s">
        <v>28</v>
      </c>
    </row>
    <row r="6" spans="1:7" ht="12.75" x14ac:dyDescent="0.2"/>
    <row r="7" spans="1:7" ht="12.75" x14ac:dyDescent="0.2">
      <c r="A7" s="40" t="s">
        <v>80</v>
      </c>
      <c r="B7" s="41">
        <v>4192.9799999999996</v>
      </c>
      <c r="C7" s="41"/>
      <c r="D7" s="42"/>
      <c r="E7" s="43"/>
      <c r="F7" s="43"/>
      <c r="G7" s="43"/>
    </row>
    <row r="8" spans="1:7" ht="12.75" x14ac:dyDescent="0.2">
      <c r="A8" s="40" t="s">
        <v>29</v>
      </c>
      <c r="B8" s="41">
        <f>Receipts!D37</f>
        <v>7348.5</v>
      </c>
      <c r="C8" s="41"/>
      <c r="D8" s="42"/>
      <c r="E8" s="43"/>
      <c r="F8" s="43"/>
      <c r="G8" s="43"/>
    </row>
    <row r="9" spans="1:7" ht="12.75" x14ac:dyDescent="0.2">
      <c r="A9" s="40" t="s">
        <v>30</v>
      </c>
      <c r="B9" s="41">
        <f>-Payments!F70</f>
        <v>-6468.99</v>
      </c>
      <c r="C9" s="41"/>
      <c r="D9" s="42"/>
      <c r="E9" s="43"/>
      <c r="F9" s="43"/>
      <c r="G9" s="43"/>
    </row>
    <row r="10" spans="1:7" ht="12.75" x14ac:dyDescent="0.2">
      <c r="A10" s="39"/>
      <c r="B10" s="41"/>
      <c r="C10" s="41"/>
      <c r="D10" s="44"/>
      <c r="E10" s="43"/>
      <c r="F10" s="43"/>
      <c r="G10" s="43"/>
    </row>
    <row r="11" spans="1:7" ht="12.75" x14ac:dyDescent="0.2">
      <c r="A11" s="40" t="s">
        <v>83</v>
      </c>
      <c r="B11" s="41">
        <f>SUM(B7:B10)</f>
        <v>5072.49</v>
      </c>
      <c r="C11" s="41"/>
      <c r="D11" s="42"/>
      <c r="E11" s="43"/>
      <c r="F11" s="43"/>
      <c r="G11" s="43"/>
    </row>
    <row r="12" spans="1:7" ht="12.95" customHeight="1" x14ac:dyDescent="0.2">
      <c r="A12" s="45"/>
    </row>
    <row r="13" spans="1:7" ht="12.95" customHeight="1" x14ac:dyDescent="0.2">
      <c r="A13" s="45"/>
    </row>
    <row r="14" spans="1:7" ht="12.95" customHeight="1" x14ac:dyDescent="0.2">
      <c r="C14" s="46"/>
    </row>
    <row r="16" spans="1:7" ht="12.95" customHeight="1" x14ac:dyDescent="0.2">
      <c r="A16" s="45"/>
    </row>
  </sheetData>
  <sheetProtection selectLockedCells="1" selectUnlockedCells="1"/>
  <mergeCells count="2">
    <mergeCell ref="A1:E1"/>
    <mergeCell ref="A3:D3"/>
  </mergeCells>
  <pageMargins left="0.7" right="0.7" top="0.75" bottom="0.75" header="0.3" footer="0.3"/>
  <pageSetup paperSize="9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topLeftCell="A7" workbookViewId="0">
      <selection activeCell="H25" sqref="H25"/>
    </sheetView>
  </sheetViews>
  <sheetFormatPr defaultColWidth="11.5703125" defaultRowHeight="12.95" customHeight="1" x14ac:dyDescent="0.2"/>
  <cols>
    <col min="1" max="1" width="41.140625" customWidth="1"/>
    <col min="2" max="3" width="12.85546875" style="47" customWidth="1"/>
    <col min="4" max="4" width="14.85546875" customWidth="1"/>
    <col min="5" max="6" width="12.85546875" customWidth="1"/>
    <col min="8" max="19" width="19.7109375" customWidth="1"/>
    <col min="20" max="20" width="24.7109375" customWidth="1"/>
    <col min="21" max="21" width="19.140625" customWidth="1"/>
    <col min="22" max="23" width="18.7109375" bestFit="1" customWidth="1"/>
    <col min="24" max="25" width="14.140625" bestFit="1" customWidth="1"/>
    <col min="26" max="26" width="20.7109375" bestFit="1" customWidth="1"/>
    <col min="27" max="27" width="20.28515625" bestFit="1" customWidth="1"/>
    <col min="28" max="28" width="20.7109375" bestFit="1" customWidth="1"/>
    <col min="29" max="29" width="20.28515625" bestFit="1" customWidth="1"/>
    <col min="30" max="30" width="19.140625" bestFit="1" customWidth="1"/>
    <col min="31" max="31" width="18.7109375" bestFit="1" customWidth="1"/>
  </cols>
  <sheetData>
    <row r="1" spans="1:7" ht="12.75" x14ac:dyDescent="0.2">
      <c r="A1" s="48" t="s">
        <v>31</v>
      </c>
      <c r="B1" s="49"/>
      <c r="C1" s="49"/>
      <c r="D1" s="50"/>
      <c r="E1" s="50"/>
    </row>
    <row r="2" spans="1:7" ht="12.75" customHeight="1" x14ac:dyDescent="0.2">
      <c r="A2" s="48" t="s">
        <v>32</v>
      </c>
      <c r="D2" s="49" t="s">
        <v>43</v>
      </c>
      <c r="E2" s="110" t="s">
        <v>181</v>
      </c>
      <c r="G2" t="s">
        <v>51</v>
      </c>
    </row>
    <row r="3" spans="1:7" ht="17.649999999999999" customHeight="1" x14ac:dyDescent="0.25">
      <c r="A3" s="223"/>
      <c r="B3" s="223"/>
      <c r="C3" s="223"/>
      <c r="D3" s="223"/>
      <c r="E3" s="223"/>
      <c r="F3" s="1"/>
    </row>
    <row r="4" spans="1:7" ht="17.649999999999999" customHeight="1" x14ac:dyDescent="0.25">
      <c r="A4" s="109"/>
      <c r="B4" s="114"/>
      <c r="C4" s="115"/>
      <c r="D4" s="109" t="s">
        <v>4</v>
      </c>
      <c r="E4" s="109" t="s">
        <v>5</v>
      </c>
      <c r="F4" s="1"/>
    </row>
    <row r="5" spans="1:7" ht="17.649999999999999" customHeight="1" x14ac:dyDescent="0.25">
      <c r="A5" s="111" t="s">
        <v>44</v>
      </c>
      <c r="B5" s="114"/>
      <c r="C5" s="115"/>
      <c r="D5" s="112">
        <f>Summary!B7</f>
        <v>4192.9799999999996</v>
      </c>
      <c r="E5" s="112">
        <f>Summary!C7</f>
        <v>0</v>
      </c>
      <c r="F5" s="1"/>
      <c r="G5" t="s">
        <v>56</v>
      </c>
    </row>
    <row r="6" spans="1:7" ht="17.649999999999999" customHeight="1" x14ac:dyDescent="0.25">
      <c r="A6" s="111" t="s">
        <v>45</v>
      </c>
      <c r="B6" s="114"/>
      <c r="C6" s="115"/>
      <c r="D6" s="112">
        <f>SUMIF(Receipts!$B$8:$B$36,"&lt;Rec!$E$2",Receipts!D$8:D$36)</f>
        <v>7348.5</v>
      </c>
      <c r="E6" s="112">
        <f>SUMIF(Receipts!$B$10:$B$36,"&lt;Rec!$E$2",Receipts!E$10:E$36)</f>
        <v>0</v>
      </c>
      <c r="F6" s="1"/>
    </row>
    <row r="7" spans="1:7" ht="17.649999999999999" customHeight="1" x14ac:dyDescent="0.25">
      <c r="A7" s="111" t="s">
        <v>46</v>
      </c>
      <c r="B7" s="114"/>
      <c r="C7" s="115"/>
      <c r="D7" s="112">
        <f>-SUMIF(Payments!$B$8:$B$64,"&lt;Rec!$E2",Payments!F$8:F$64)</f>
        <v>-6468.99</v>
      </c>
      <c r="E7" s="112">
        <f>-SUMIF(Payments!$B$14:$B$69,"&lt;Rec!$E$2",Payments!G$14:G$69)</f>
        <v>0</v>
      </c>
      <c r="F7" s="1"/>
    </row>
    <row r="8" spans="1:7" ht="18" x14ac:dyDescent="0.25">
      <c r="A8" s="116" t="s">
        <v>33</v>
      </c>
      <c r="B8" s="117"/>
      <c r="C8" s="118"/>
      <c r="D8" s="119">
        <f>SUM(D5:D7)</f>
        <v>5072.49</v>
      </c>
      <c r="E8" s="119">
        <f>SUM(E5:E7)</f>
        <v>0</v>
      </c>
    </row>
    <row r="9" spans="1:7" ht="12.75" customHeight="1" x14ac:dyDescent="0.2">
      <c r="A9" s="50"/>
      <c r="B9" s="114"/>
      <c r="C9" s="115"/>
      <c r="D9" s="113"/>
      <c r="E9" s="113"/>
    </row>
    <row r="10" spans="1:7" ht="18" x14ac:dyDescent="0.25">
      <c r="A10" s="128" t="s">
        <v>34</v>
      </c>
      <c r="B10" s="129"/>
      <c r="C10" s="130"/>
      <c r="D10" s="131">
        <f>SUMIF(Receipts!$J$10:$J$36,"Y",Receipts!D10:D36)</f>
        <v>0</v>
      </c>
      <c r="E10" s="131">
        <f>SUMIF(Receipts!$J$10:$J$36,"Y",Receipts!E10:E36)</f>
        <v>0</v>
      </c>
    </row>
    <row r="11" spans="1:7" ht="12.75" x14ac:dyDescent="0.2">
      <c r="A11" s="125" t="str">
        <f>IF(ISERROR(VLOOKUP("y1",Receipts!$A$10:$I$37,3,FALSE)),"",VLOOKUP("y1",Receipts!$A$10:$I$37,3,FALSE))</f>
        <v/>
      </c>
      <c r="B11" s="125" t="str">
        <f>IF(ISERROR(VLOOKUP("y1",Receipts!$A$10:$I$37,3,FALSE)),"",VLOOKUP("y1",Receipts!$A$10:$I$37,2,FALSE))</f>
        <v/>
      </c>
      <c r="C11" s="125"/>
      <c r="D11" s="127" t="str">
        <f>IF(ISERROR(VLOOKUP("y1",Receipts!$A$10:$I$37,3,FALSE)),"",VLOOKUP("y1",Receipts!$A$10:$I$37,4,FALSE))</f>
        <v/>
      </c>
      <c r="E11" s="127" t="str">
        <f>IF(ISERROR(VLOOKUP("y1",Receipts!$A$10:$I$37,3,FALSE)),"",VLOOKUP("y1",Receipts!$A$10:$I$37,5,FALSE))</f>
        <v/>
      </c>
      <c r="G11" t="s">
        <v>52</v>
      </c>
    </row>
    <row r="12" spans="1:7" ht="12.75" x14ac:dyDescent="0.2">
      <c r="A12" s="125" t="str">
        <f>IF(ISERROR(VLOOKUP("y2",Receipts!$A$10:$I$37,3,FALSE)),"",VLOOKUP("y2",Receipts!$A$10:$I$37,3,FALSE))</f>
        <v/>
      </c>
      <c r="B12" s="125" t="str">
        <f>IF(ISERROR(VLOOKUP("y2",Receipts!$A$10:$I$37,3,FALSE)),"",VLOOKUP("y2",Receipts!$A$10:$I$37,2,FALSE))</f>
        <v/>
      </c>
      <c r="C12" s="125"/>
      <c r="D12" s="127" t="str">
        <f>IF(ISERROR(VLOOKUP("y2",Receipts!$A$10:$I$37,3,FALSE)),"",VLOOKUP("y2",Receipts!$A$10:$I$37,4,FALSE))</f>
        <v/>
      </c>
      <c r="E12" s="127" t="str">
        <f>IF(ISERROR(VLOOKUP("y2",Receipts!$A$10:$I$37,3,FALSE)),"",VLOOKUP("y2",Receipts!$A$10:$I$37,5,FALSE))</f>
        <v/>
      </c>
    </row>
    <row r="13" spans="1:7" ht="12.75" x14ac:dyDescent="0.2">
      <c r="A13" s="125" t="str">
        <f>IF(ISERROR(VLOOKUP("y3",Receipts!$A$10:$I$37,3,FALSE)),"",VLOOKUP("y3",Receipts!$A$10:$I$37,3,FALSE))</f>
        <v/>
      </c>
      <c r="B13" s="125" t="str">
        <f>IF(ISERROR(VLOOKUP("y3",Receipts!$A$10:$I$37,3,FALSE)),"",VLOOKUP("y3",Receipts!$A$10:$I$37,2,FALSE))</f>
        <v/>
      </c>
      <c r="C13" s="125"/>
      <c r="D13" s="127" t="str">
        <f>IF(ISERROR(VLOOKUP("y3",Receipts!$A$10:$I$37,3,FALSE)),"",VLOOKUP("y3",Receipts!$A$10:$I$37,3,FALSE))</f>
        <v/>
      </c>
      <c r="E13" s="127" t="str">
        <f>IF(ISERROR(VLOOKUP("y3",Receipts!$A$10:$I$37,3,FALSE)),"",VLOOKUP("y3",Receipts!$A$10:$I$37,3,FALSE))</f>
        <v/>
      </c>
    </row>
    <row r="14" spans="1:7" ht="12.75" x14ac:dyDescent="0.2">
      <c r="A14" s="125" t="str">
        <f>IF(ISERROR(VLOOKUP("y4",Receipts!$A$10:$I$37,3,FALSE)),"",VLOOKUP("y4",Receipts!$A$10:$I$37,3,FALSE))</f>
        <v/>
      </c>
      <c r="B14" s="125" t="str">
        <f>IF(ISERROR(VLOOKUP("y4",Receipts!$A$10:$I$37,3,FALSE)),"",VLOOKUP("y4",Receipts!$A$10:$I$37,3,FALSE))</f>
        <v/>
      </c>
      <c r="C14" s="125"/>
      <c r="D14" s="127" t="str">
        <f>IF(ISERROR(VLOOKUP("y4",Receipts!$A$10:$I$37,3,FALSE)),"",VLOOKUP("y4",Receipts!$A$10:$I$37,3,FALSE))</f>
        <v/>
      </c>
      <c r="E14" s="127" t="str">
        <f>IF(ISERROR(VLOOKUP("y4",Receipts!$A$10:$I$37,3,FALSE)),"",VLOOKUP("y4",Receipts!$A$10:$I$37,3,FALSE))</f>
        <v/>
      </c>
    </row>
    <row r="15" spans="1:7" ht="12.75" x14ac:dyDescent="0.2">
      <c r="A15" s="125" t="str">
        <f>IF(ISERROR(VLOOKUP("y5",Receipts!$A$10:$I$37,3,FALSE)),"",VLOOKUP("y5",Receipts!$A$10:$I$37,3,FALSE))</f>
        <v/>
      </c>
      <c r="B15" s="125" t="str">
        <f>IF(ISERROR(VLOOKUP("y5",Receipts!$A$10:$I$37,3,FALSE)),"",VLOOKUP("y5",Receipts!$A$10:$I$37,3,FALSE))</f>
        <v/>
      </c>
      <c r="C15" s="125"/>
      <c r="D15" s="127" t="str">
        <f>IF(ISERROR(VLOOKUP("y5",Receipts!$A$10:$I$37,3,FALSE)),"",VLOOKUP("y5",Receipts!$A$10:$I$37,3,FALSE))</f>
        <v/>
      </c>
      <c r="E15" s="127" t="str">
        <f>IF(ISERROR(VLOOKUP("y5",Receipts!$A$10:$I$37,3,FALSE)),"",VLOOKUP("y5",Receipts!$A$10:$I$37,3,FALSE))</f>
        <v/>
      </c>
    </row>
    <row r="16" spans="1:7" ht="12.75" x14ac:dyDescent="0.2">
      <c r="A16" s="51"/>
      <c r="B16" s="51"/>
      <c r="C16" s="49"/>
      <c r="D16" s="127"/>
      <c r="E16" s="127"/>
    </row>
    <row r="17" spans="1:7" ht="18" x14ac:dyDescent="0.25">
      <c r="A17" s="132" t="s">
        <v>35</v>
      </c>
      <c r="B17" s="133"/>
      <c r="C17" s="134"/>
      <c r="D17" s="135">
        <f>SUMIF(Payments!$Q$8:$Q$69,"Y",Payments!F8:F69)</f>
        <v>0</v>
      </c>
      <c r="E17" s="135">
        <f>SUMIF(Payments!$Q$14:$Q$69,"Y",Payments!G14:G69)</f>
        <v>0</v>
      </c>
    </row>
    <row r="18" spans="1:7" ht="12.75" x14ac:dyDescent="0.2">
      <c r="A18" s="125" t="str">
        <f>IF(ISERROR(VLOOKUP("y1",Payments!$A$14:$I$297,3,FALSE)),"",VLOOKUP("y1",Payments!$A$14:$I$297,3,FALSE))</f>
        <v/>
      </c>
      <c r="B18" s="125" t="str">
        <f>IF(ISERROR(VLOOKUP("y1",Payments!$A$14:$I$297,3,FALSE)),"",VLOOKUP("y1",Payments!$A$14:$I$297,2,FALSE))</f>
        <v/>
      </c>
      <c r="C18" s="126"/>
      <c r="D18" s="127" t="str">
        <f>IF(ISERROR(VLOOKUP("y1",Payments!$A$14:$I$297,3,FALSE)),"",VLOOKUP("y1",Payments!$A$14:$I$297,6,FALSE))</f>
        <v/>
      </c>
      <c r="E18" s="127" t="str">
        <f>IF(ISERROR(VLOOKUP("y1",Payments!$A$14:$I$297,3,FALSE)),"",VLOOKUP("y1",Payments!$A$14:$I$297,7,FALSE))</f>
        <v/>
      </c>
    </row>
    <row r="19" spans="1:7" ht="12.75" x14ac:dyDescent="0.2">
      <c r="A19" s="125" t="str">
        <f>IF(ISERROR(VLOOKUP("y2",Payments!$A$14:$I$297,3,FALSE)),"",VLOOKUP("y2",Payments!$A$14:$I$297,3,FALSE))</f>
        <v/>
      </c>
      <c r="B19" s="125" t="str">
        <f>IF(ISERROR(VLOOKUP("y2",Payments!$A$14:$I$297,3,FALSE)),"",VLOOKUP("y2",Payments!$A$14:$I$297,2,FALSE))</f>
        <v/>
      </c>
      <c r="C19" s="126"/>
      <c r="D19" s="127" t="str">
        <f>IF(ISERROR(VLOOKUP("y2",Payments!$A$14:$I$297,3,FALSE)),"",VLOOKUP("y2",Payments!$A$14:$I$297,6,FALSE))</f>
        <v/>
      </c>
      <c r="E19" s="127" t="str">
        <f>IF(ISERROR(VLOOKUP("y2",Payments!$A$14:$I$297,3,FALSE)),"",VLOOKUP("y2",Payments!$A$14:$I$297,7,FALSE))</f>
        <v/>
      </c>
    </row>
    <row r="20" spans="1:7" ht="12.75" x14ac:dyDescent="0.2">
      <c r="A20" s="125" t="str">
        <f>IF(ISERROR(VLOOKUP("y3",Payments!$A$14:$I$297,3,FALSE)),"",VLOOKUP("y3",Payments!$A$14:$I$297,3,FALSE))</f>
        <v/>
      </c>
      <c r="B20" s="125" t="str">
        <f>IF(ISERROR(VLOOKUP("y3",Payments!$A$14:$I$297,3,FALSE)),"",VLOOKUP("y3",Payments!$A$14:$I$297,2,FALSE))</f>
        <v/>
      </c>
      <c r="C20" s="126"/>
      <c r="D20" s="127" t="str">
        <f>IF(ISERROR(VLOOKUP("y3",Payments!$A$14:$I$297,3,FALSE)),"",VLOOKUP("y3",Payments!$A$14:$I$297,6,FALSE))</f>
        <v/>
      </c>
      <c r="E20" s="127" t="str">
        <f>IF(ISERROR(VLOOKUP("y3",Payments!$A$14:$I$297,3,FALSE)),"",VLOOKUP("y3",Payments!$A$14:$I$297,7,FALSE))</f>
        <v/>
      </c>
    </row>
    <row r="21" spans="1:7" ht="12.75" x14ac:dyDescent="0.2">
      <c r="A21" s="125" t="str">
        <f>IF(ISERROR(VLOOKUP("y4",Payments!$A$14:$I$297,3,FALSE)),"",VLOOKUP("y4",Payments!$A$14:$I$297,3,FALSE))</f>
        <v/>
      </c>
      <c r="B21" s="125" t="str">
        <f>IF(ISERROR(VLOOKUP("y4",Payments!$A$14:$I$297,3,FALSE)),"",VLOOKUP("y4",Payments!$A$14:$I$297,2,FALSE))</f>
        <v/>
      </c>
      <c r="C21" s="126"/>
      <c r="D21" s="127" t="str">
        <f>IF(ISERROR(VLOOKUP("y4",Payments!$A$14:$I$297,3,FALSE)),"",VLOOKUP("y4",Payments!$A$14:$I$297,6,FALSE))</f>
        <v/>
      </c>
      <c r="E21" s="127" t="str">
        <f>IF(ISERROR(VLOOKUP("y4",Payments!$A$14:$I$297,3,FALSE)),"",VLOOKUP("y4",Payments!$A$14:$I$297,7,FALSE))</f>
        <v/>
      </c>
    </row>
    <row r="22" spans="1:7" ht="12.75" x14ac:dyDescent="0.2">
      <c r="A22" s="125" t="str">
        <f>IF(ISERROR(VLOOKUP("y5",Payments!$A$14:$I$297,3,FALSE)),"",VLOOKUP("y5",Payments!$A$14:$I$297,3,FALSE))</f>
        <v/>
      </c>
      <c r="B22" s="125" t="str">
        <f>IF(ISERROR(VLOOKUP("y5",Payments!$A$14:$I$297,3,FALSE)),"",VLOOKUP("y5",Payments!$A$14:$I$297,2,FALSE))</f>
        <v/>
      </c>
      <c r="C22" s="126"/>
      <c r="D22" s="127" t="str">
        <f>IF(ISERROR(VLOOKUP("y5",Payments!$A$14:$I$297,3,FALSE)),"",VLOOKUP("y5",Payments!$A$14:$I$297,6,FALSE))</f>
        <v/>
      </c>
      <c r="E22" s="127" t="str">
        <f>IF(ISERROR(VLOOKUP("y5",Payments!$A$14:$I$297,3,FALSE)),"",VLOOKUP("y5",Payments!$A$14:$I$297,7,FALSE))</f>
        <v/>
      </c>
    </row>
    <row r="23" spans="1:7" ht="12.75" x14ac:dyDescent="0.2">
      <c r="A23" s="125" t="str">
        <f>IF(ISERROR(VLOOKUP("y6",Payments!$A$14:$I$297,3,FALSE)),"",VLOOKUP("y6",Payments!$A$14:$I$297,3,FALSE))</f>
        <v/>
      </c>
      <c r="B23" s="125" t="str">
        <f>IF(ISERROR(VLOOKUP("y6",Payments!$A$14:$I$297,3,FALSE)),"",VLOOKUP("y6",Payments!$A$14:$I$297,2,FALSE))</f>
        <v/>
      </c>
      <c r="C23" s="126"/>
      <c r="D23" s="127" t="str">
        <f>IF(ISERROR(VLOOKUP("y6",Payments!$A$14:$I$297,3,FALSE)),"",VLOOKUP("y6",Payments!$A$14:$I$297,6,FALSE))</f>
        <v/>
      </c>
      <c r="E23" s="127" t="str">
        <f>IF(ISERROR(VLOOKUP("y6",Payments!$A$14:$I$297,3,FALSE)),"",VLOOKUP("y6",Payments!$A$14:$I$297,7,FALSE))</f>
        <v/>
      </c>
    </row>
    <row r="24" spans="1:7" ht="12.75" x14ac:dyDescent="0.2">
      <c r="A24" s="125" t="str">
        <f>IF(ISERROR(VLOOKUP("y7",Payments!$A$14:$I$297,3,FALSE)),"",VLOOKUP("y7",Payments!$A$14:$I$297,3,FALSE))</f>
        <v/>
      </c>
      <c r="B24" s="125" t="str">
        <f>IF(ISERROR(VLOOKUP("y7",Payments!$A$14:$I$297,3,FALSE)),"",VLOOKUP("y7",Payments!$A$14:$I$297,2,FALSE))</f>
        <v/>
      </c>
      <c r="C24" s="126"/>
      <c r="D24" s="127" t="str">
        <f>IF(ISERROR(VLOOKUP("y7",Payments!$A$14:$I$297,3,FALSE)),"",VLOOKUP("y7",Payments!$A$14:$I$297,6,FALSE))</f>
        <v/>
      </c>
      <c r="E24" s="127" t="str">
        <f>IF(ISERROR(VLOOKUP("y7",Payments!$A$14:$I$297,3,FALSE)),"",VLOOKUP("y7",Payments!$A$14:$I$297,7,FALSE))</f>
        <v/>
      </c>
    </row>
    <row r="25" spans="1:7" ht="12.75" x14ac:dyDescent="0.2">
      <c r="A25" s="125" t="str">
        <f>IF(ISERROR(VLOOKUP("y8",Payments!$A$14:$I$297,3,FALSE)),"",VLOOKUP("y8",Payments!$A$14:$I$297,3,FALSE))</f>
        <v/>
      </c>
      <c r="B25" s="125" t="str">
        <f>IF(ISERROR(VLOOKUP("y8",Payments!$A$14:$I$297,3,FALSE)),"",VLOOKUP("y8",Payments!$A$14:$I$297,2,FALSE))</f>
        <v/>
      </c>
      <c r="C25" s="126"/>
      <c r="D25" s="127" t="str">
        <f>IF(ISERROR(VLOOKUP("y8",Payments!$A$14:$I$297,3,FALSE)),"",VLOOKUP("y8",Payments!$A$14:$I$297,6,FALSE))</f>
        <v/>
      </c>
      <c r="E25" s="127" t="str">
        <f>IF(ISERROR(VLOOKUP("y8",Payments!$A$14:$I$297,3,FALSE)),"",VLOOKUP("y8",Payments!$A$14:$I$297,7,FALSE))</f>
        <v/>
      </c>
    </row>
    <row r="26" spans="1:7" ht="12.75" customHeight="1" x14ac:dyDescent="0.2">
      <c r="A26" s="125" t="str">
        <f>IF(ISERROR(VLOOKUP("y9",Payments!$A$14:$I$297,3,FALSE)),"",VLOOKUP("y9",Payments!$A$14:$I$297,3,FALSE))</f>
        <v/>
      </c>
      <c r="B26" s="125" t="str">
        <f>IF(ISERROR(VLOOKUP("y9",Payments!$A$14:$I$297,3,FALSE)),"",VLOOKUP("y9",Payments!$A$14:$I$297,2,FALSE))</f>
        <v/>
      </c>
      <c r="C26" s="126"/>
      <c r="D26" s="127" t="str">
        <f>IF(ISERROR(VLOOKUP("y9",Payments!$A$14:$I$297,3,FALSE)),"",VLOOKUP("y9",Payments!$A$14:$I$297,6,FALSE))</f>
        <v/>
      </c>
      <c r="E26" s="127" t="str">
        <f>IF(ISERROR(VLOOKUP("y9",Payments!$A$14:$I$297,3,FALSE)),"",VLOOKUP("y9",Payments!$A$14:$I$297,7,FALSE))</f>
        <v/>
      </c>
    </row>
    <row r="27" spans="1:7" ht="12.75" x14ac:dyDescent="0.2">
      <c r="A27" s="125" t="str">
        <f>IF(ISERROR(VLOOKUP("y10",Payments!$A$14:$I$297,3,FALSE)),"",VLOOKUP("y10",Payments!$A$14:$I$297,3,FALSE))</f>
        <v/>
      </c>
      <c r="B27" s="125" t="str">
        <f>IF(ISERROR(VLOOKUP("y10",Payments!$A$14:$I$297,3,FALSE)),"",VLOOKUP("y10",Payments!$A$14:$I$297,2,FALSE))</f>
        <v/>
      </c>
      <c r="C27" s="126"/>
      <c r="D27" s="127" t="str">
        <f>IF(ISERROR(VLOOKUP("y10",Payments!$A$14:$I$297,3,FALSE)),"",VLOOKUP("y10",Payments!$A$14:$I$297,6,FALSE))</f>
        <v/>
      </c>
      <c r="E27" s="127" t="str">
        <f>IF(ISERROR(VLOOKUP("y10",Payments!$A$14:$I$297,3,FALSE)),"",VLOOKUP("y10",Payments!$A$14:$I$297,7,FALSE))</f>
        <v/>
      </c>
    </row>
    <row r="28" spans="1:7" ht="12.75" x14ac:dyDescent="0.2">
      <c r="A28" s="125"/>
      <c r="B28" s="125"/>
      <c r="C28" s="126"/>
      <c r="D28" s="127"/>
      <c r="E28" s="127"/>
    </row>
    <row r="29" spans="1:7" ht="18" x14ac:dyDescent="0.25">
      <c r="A29" s="136" t="s">
        <v>36</v>
      </c>
      <c r="B29" s="133"/>
      <c r="C29" s="134"/>
      <c r="D29" s="137">
        <f>D8-D10+D17</f>
        <v>5072.49</v>
      </c>
      <c r="E29" s="137">
        <f>E8-E10+E17</f>
        <v>0</v>
      </c>
    </row>
    <row r="30" spans="1:7" ht="12.75" x14ac:dyDescent="0.2">
      <c r="A30" s="50"/>
      <c r="B30" s="51"/>
      <c r="C30" s="49"/>
      <c r="D30" s="49"/>
      <c r="E30" s="50"/>
    </row>
    <row r="31" spans="1:7" ht="12.75" x14ac:dyDescent="0.2">
      <c r="A31" s="48" t="s">
        <v>37</v>
      </c>
      <c r="B31" s="166"/>
      <c r="C31" s="166"/>
      <c r="D31" s="166">
        <v>5072.49</v>
      </c>
      <c r="E31" s="48"/>
      <c r="G31" t="s">
        <v>57</v>
      </c>
    </row>
    <row r="32" spans="1:7" ht="12.75" x14ac:dyDescent="0.2">
      <c r="A32" s="50"/>
      <c r="B32" s="49"/>
      <c r="C32" s="49"/>
      <c r="D32" s="49" t="s">
        <v>8</v>
      </c>
      <c r="E32" s="50"/>
    </row>
    <row r="33" spans="1:5" ht="12.75" x14ac:dyDescent="0.2">
      <c r="A33" s="50" t="s">
        <v>38</v>
      </c>
      <c r="B33" s="49"/>
      <c r="C33" s="49"/>
      <c r="D33" s="49">
        <f>D29-D31</f>
        <v>0</v>
      </c>
      <c r="E33" s="49">
        <f>E29-E31</f>
        <v>0</v>
      </c>
    </row>
    <row r="34" spans="1:5" ht="12.95" customHeight="1" x14ac:dyDescent="0.2">
      <c r="A34" s="50"/>
      <c r="B34" s="49"/>
      <c r="C34" s="49"/>
      <c r="D34" s="49"/>
      <c r="E34" s="50"/>
    </row>
    <row r="35" spans="1:5" ht="12.95" customHeight="1" x14ac:dyDescent="0.2">
      <c r="A35" s="50" t="s">
        <v>39</v>
      </c>
      <c r="B35" s="52"/>
      <c r="C35" s="49"/>
      <c r="D35" s="50"/>
      <c r="E35" s="50"/>
    </row>
    <row r="36" spans="1:5" ht="12.95" customHeight="1" x14ac:dyDescent="0.2">
      <c r="A36" s="50"/>
      <c r="B36" s="49"/>
      <c r="C36" s="49"/>
      <c r="D36" s="50"/>
      <c r="E36" s="50"/>
    </row>
  </sheetData>
  <sheetProtection selectLockedCells="1" selectUnlockedCells="1"/>
  <mergeCells count="1">
    <mergeCell ref="A3:E3"/>
  </mergeCells>
  <pageMargins left="0.7" right="0.7" top="0.75" bottom="0.75" header="0.3" footer="0.3"/>
  <pageSetup paperSize="9" scale="96" firstPageNumber="0" orientation="landscape" horizontalDpi="360" verticalDpi="360" r:id="rId1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Receipts</vt:lpstr>
      <vt:lpstr>Payments</vt:lpstr>
      <vt:lpstr>Summary</vt:lpstr>
      <vt:lpstr>Rec</vt:lpstr>
      <vt:lpstr>Payments!__xlnm._FilterDatabase</vt:lpstr>
      <vt:lpstr>__xlnm._FilterDatabase_1</vt:lpstr>
      <vt:lpstr>Payments!__xlnm.Print_Area</vt:lpstr>
      <vt:lpstr>Rec!__xlnm.Print_Area</vt:lpstr>
      <vt:lpstr>Receipts!__xlnm.Print_Area</vt:lpstr>
      <vt:lpstr>Summary!__xlnm.Print_Area</vt:lpstr>
      <vt:lpstr>Payments!Print_Area</vt:lpstr>
      <vt:lpstr>Rec!Print_Area</vt:lpstr>
      <vt:lpstr>Receipts!Print_Area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Alton</dc:creator>
  <cp:lastModifiedBy>chris</cp:lastModifiedBy>
  <cp:lastPrinted>2022-04-11T09:19:43Z</cp:lastPrinted>
  <dcterms:created xsi:type="dcterms:W3CDTF">2017-08-20T20:46:08Z</dcterms:created>
  <dcterms:modified xsi:type="dcterms:W3CDTF">2022-05-12T12:54:54Z</dcterms:modified>
</cp:coreProperties>
</file>